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0376" windowHeight="11772"/>
  </bookViews>
  <sheets>
    <sheet name="Budget" sheetId="8" r:id="rId1"/>
    <sheet name="Costs for 2015" sheetId="2" r:id="rId2"/>
    <sheet name="security-related" sheetId="12" state="hidden" r:id="rId3"/>
    <sheet name="Distribution of costs for 2015" sheetId="3" r:id="rId4"/>
    <sheet name="Cost_sharing_formula Act1&amp;3" sheetId="4" r:id="rId5"/>
    <sheet name="cost-sharing formula Act4" sheetId="13" r:id="rId6"/>
    <sheet name="saslary information" sheetId="7" state="hidden" r:id="rId7"/>
    <sheet name="CS staff " sheetId="11" r:id="rId8"/>
  </sheets>
  <definedNames>
    <definedName name="_xlnm.Print_Area" localSheetId="1">'Costs for 2015'!$A$1:$I$84</definedName>
  </definedNames>
  <calcPr calcId="152511"/>
</workbook>
</file>

<file path=xl/calcChain.xml><?xml version="1.0" encoding="utf-8"?>
<calcChain xmlns="http://schemas.openxmlformats.org/spreadsheetml/2006/main">
  <c r="K62" i="8" l="1"/>
  <c r="K61" i="8"/>
  <c r="K60" i="8"/>
  <c r="K63" i="8" l="1"/>
  <c r="F45" i="2"/>
  <c r="E18" i="2" l="1"/>
  <c r="F18" i="2" l="1"/>
  <c r="E4" i="2" l="1"/>
  <c r="B9" i="13" l="1"/>
  <c r="G9" i="13"/>
  <c r="F9" i="13"/>
  <c r="B9" i="4"/>
  <c r="G9" i="4"/>
  <c r="F9" i="4"/>
  <c r="D51" i="2" l="1"/>
  <c r="B22" i="11" l="1"/>
  <c r="F26" i="7"/>
  <c r="I25" i="7"/>
  <c r="I24" i="7"/>
  <c r="I23" i="7"/>
  <c r="I22" i="7"/>
  <c r="I21" i="7"/>
  <c r="I20" i="7"/>
  <c r="I19" i="7"/>
  <c r="I18" i="7"/>
  <c r="I26" i="7" s="1"/>
  <c r="F16" i="7"/>
  <c r="I15" i="7"/>
  <c r="I14" i="7"/>
  <c r="I13" i="7"/>
  <c r="I12" i="7"/>
  <c r="I11" i="7"/>
  <c r="I10" i="7"/>
  <c r="I9" i="7"/>
  <c r="I8" i="7"/>
  <c r="I7" i="7"/>
  <c r="I6" i="7"/>
  <c r="I16" i="7" s="1"/>
  <c r="F31" i="13"/>
  <c r="E31" i="13"/>
  <c r="D31" i="13"/>
  <c r="J30" i="13"/>
  <c r="I30" i="13"/>
  <c r="J29" i="13"/>
  <c r="I29" i="13"/>
  <c r="E29" i="13"/>
  <c r="F27" i="13"/>
  <c r="F28" i="13" s="1"/>
  <c r="A19" i="13"/>
  <c r="E15" i="13"/>
  <c r="D15" i="13"/>
  <c r="K14" i="13"/>
  <c r="G15" i="13" s="1"/>
  <c r="J10" i="13"/>
  <c r="H10" i="13"/>
  <c r="H29" i="13" s="1"/>
  <c r="G10" i="13"/>
  <c r="G30" i="13" s="1"/>
  <c r="F10" i="13"/>
  <c r="F30" i="13" s="1"/>
  <c r="E10" i="13"/>
  <c r="E30" i="13" s="1"/>
  <c r="D10" i="13"/>
  <c r="D30" i="13" s="1"/>
  <c r="K9" i="13"/>
  <c r="K8" i="13"/>
  <c r="K7" i="13"/>
  <c r="K6" i="13"/>
  <c r="C5" i="13"/>
  <c r="C10" i="13" s="1"/>
  <c r="B5" i="13"/>
  <c r="B10" i="13" s="1"/>
  <c r="K4" i="13"/>
  <c r="K3" i="13"/>
  <c r="B44" i="4"/>
  <c r="F31" i="4"/>
  <c r="E31" i="4"/>
  <c r="D31" i="4"/>
  <c r="J29" i="4"/>
  <c r="F27" i="4"/>
  <c r="F28" i="4" s="1"/>
  <c r="A19" i="4"/>
  <c r="K14" i="4"/>
  <c r="G15" i="4" s="1"/>
  <c r="J10" i="4"/>
  <c r="J30" i="4" s="1"/>
  <c r="I10" i="4"/>
  <c r="I29" i="4" s="1"/>
  <c r="H10" i="4"/>
  <c r="H29" i="4" s="1"/>
  <c r="G10" i="4"/>
  <c r="G30" i="4" s="1"/>
  <c r="F10" i="4"/>
  <c r="F30" i="4" s="1"/>
  <c r="E10" i="4"/>
  <c r="E30" i="4" s="1"/>
  <c r="D10" i="4"/>
  <c r="D30" i="4" s="1"/>
  <c r="K9" i="4"/>
  <c r="K8" i="4"/>
  <c r="K7" i="4"/>
  <c r="K6" i="4"/>
  <c r="C5" i="4"/>
  <c r="B31" i="4" s="1"/>
  <c r="C31" i="4" s="1"/>
  <c r="B5" i="4"/>
  <c r="B10" i="4" s="1"/>
  <c r="K4" i="4"/>
  <c r="K3" i="4"/>
  <c r="D67" i="12"/>
  <c r="D64" i="12"/>
  <c r="F56" i="12"/>
  <c r="L49" i="12"/>
  <c r="D34" i="12"/>
  <c r="E33" i="12"/>
  <c r="D32" i="12"/>
  <c r="E31" i="12"/>
  <c r="E55" i="12" s="1"/>
  <c r="D26" i="12"/>
  <c r="E26" i="12" s="1"/>
  <c r="F26" i="12" s="1"/>
  <c r="F25" i="12"/>
  <c r="E25" i="12"/>
  <c r="D25" i="12"/>
  <c r="E24" i="12"/>
  <c r="F24" i="12" s="1"/>
  <c r="D24" i="12"/>
  <c r="E23" i="12"/>
  <c r="J23" i="12" s="1"/>
  <c r="D23" i="12"/>
  <c r="D22" i="12"/>
  <c r="D28" i="12" s="1"/>
  <c r="D21" i="12"/>
  <c r="E21" i="12" s="1"/>
  <c r="F21" i="12" s="1"/>
  <c r="F20" i="12"/>
  <c r="E20" i="12"/>
  <c r="E19" i="12"/>
  <c r="J19" i="12" s="1"/>
  <c r="F18" i="12"/>
  <c r="E18" i="12"/>
  <c r="H13" i="12"/>
  <c r="I13" i="12" s="1"/>
  <c r="F13" i="12"/>
  <c r="E13" i="12"/>
  <c r="D13" i="12"/>
  <c r="H12" i="12"/>
  <c r="I12" i="12" s="1"/>
  <c r="D12" i="12"/>
  <c r="E12" i="12" s="1"/>
  <c r="F12" i="12" s="1"/>
  <c r="I11" i="12"/>
  <c r="H11" i="12"/>
  <c r="D11" i="12"/>
  <c r="E11" i="12" s="1"/>
  <c r="F11" i="12" s="1"/>
  <c r="I10" i="12"/>
  <c r="H10" i="12"/>
  <c r="E10" i="12"/>
  <c r="F10" i="12" s="1"/>
  <c r="D10" i="12"/>
  <c r="H9" i="12"/>
  <c r="I9" i="12" s="1"/>
  <c r="F9" i="12"/>
  <c r="E9" i="12"/>
  <c r="D9" i="12"/>
  <c r="H8" i="12"/>
  <c r="I8" i="12" s="1"/>
  <c r="D8" i="12"/>
  <c r="E8" i="12" s="1"/>
  <c r="F8" i="12" s="1"/>
  <c r="I7" i="12"/>
  <c r="H7" i="12"/>
  <c r="D7" i="12"/>
  <c r="E7" i="12" s="1"/>
  <c r="F7" i="12" s="1"/>
  <c r="I6" i="12"/>
  <c r="H6" i="12"/>
  <c r="E6" i="12"/>
  <c r="F6" i="12" s="1"/>
  <c r="D6" i="12"/>
  <c r="D5" i="12"/>
  <c r="E5" i="12" s="1"/>
  <c r="F5" i="12" s="1"/>
  <c r="I4" i="12"/>
  <c r="H4" i="12"/>
  <c r="E4" i="12"/>
  <c r="F4" i="12" s="1"/>
  <c r="D4" i="12"/>
  <c r="D15" i="12" s="1"/>
  <c r="D61" i="2"/>
  <c r="J38" i="8" s="1"/>
  <c r="E32" i="2"/>
  <c r="D31" i="2"/>
  <c r="E30" i="2"/>
  <c r="E26" i="2"/>
  <c r="F26" i="2" s="1"/>
  <c r="E25" i="2"/>
  <c r="F25" i="2" s="1"/>
  <c r="E24" i="2"/>
  <c r="F24" i="2" s="1"/>
  <c r="E23" i="2"/>
  <c r="F23" i="2" s="1"/>
  <c r="E22" i="2"/>
  <c r="F22" i="2" s="1"/>
  <c r="E21" i="2"/>
  <c r="F21" i="2" s="1"/>
  <c r="E20" i="2"/>
  <c r="F20" i="2" s="1"/>
  <c r="E19" i="2"/>
  <c r="J19" i="2" s="1"/>
  <c r="D58" i="2"/>
  <c r="J5" i="8" s="1"/>
  <c r="D27" i="2"/>
  <c r="D15" i="2"/>
  <c r="H13" i="2"/>
  <c r="I13" i="2" s="1"/>
  <c r="E13" i="2"/>
  <c r="F13" i="2" s="1"/>
  <c r="H12" i="2"/>
  <c r="I12" i="2" s="1"/>
  <c r="E12" i="2"/>
  <c r="F12" i="2" s="1"/>
  <c r="H11" i="2"/>
  <c r="I11" i="2" s="1"/>
  <c r="E11" i="2"/>
  <c r="F11" i="2" s="1"/>
  <c r="H10" i="2"/>
  <c r="I10" i="2" s="1"/>
  <c r="E10" i="2"/>
  <c r="F10" i="2" s="1"/>
  <c r="H9" i="2"/>
  <c r="I9" i="2" s="1"/>
  <c r="E9" i="2"/>
  <c r="F9" i="2" s="1"/>
  <c r="H8" i="2"/>
  <c r="I8" i="2" s="1"/>
  <c r="E8" i="2"/>
  <c r="F8" i="2" s="1"/>
  <c r="H7" i="2"/>
  <c r="I7" i="2" s="1"/>
  <c r="E7" i="2"/>
  <c r="F7" i="2" s="1"/>
  <c r="H6" i="2"/>
  <c r="I6" i="2" s="1"/>
  <c r="E6" i="2"/>
  <c r="F6" i="2" s="1"/>
  <c r="E5" i="2"/>
  <c r="F5" i="2" s="1"/>
  <c r="H4" i="2"/>
  <c r="I4" i="2" s="1"/>
  <c r="F4" i="2"/>
  <c r="C54" i="8"/>
  <c r="C53" i="8"/>
  <c r="C52" i="8"/>
  <c r="C51" i="8"/>
  <c r="C50" i="8"/>
  <c r="C49" i="8"/>
  <c r="C48" i="8"/>
  <c r="C47" i="8"/>
  <c r="E44" i="2" l="1"/>
  <c r="E15" i="2"/>
  <c r="F19" i="2"/>
  <c r="F27" i="2" s="1"/>
  <c r="C30" i="13"/>
  <c r="C29" i="13"/>
  <c r="F15" i="12"/>
  <c r="K5" i="13"/>
  <c r="H15" i="13"/>
  <c r="B31" i="13"/>
  <c r="C31" i="13" s="1"/>
  <c r="E15" i="12"/>
  <c r="F19" i="12"/>
  <c r="F28" i="12" s="1"/>
  <c r="E22" i="12"/>
  <c r="F22" i="12" s="1"/>
  <c r="F23" i="12"/>
  <c r="K5" i="4"/>
  <c r="D29" i="4"/>
  <c r="I15" i="13"/>
  <c r="D29" i="13"/>
  <c r="H30" i="13"/>
  <c r="H30" i="4"/>
  <c r="E27" i="2"/>
  <c r="F15" i="13"/>
  <c r="J15" i="13"/>
  <c r="C15" i="13"/>
  <c r="K15" i="13" s="1"/>
  <c r="H15" i="4"/>
  <c r="D15" i="4"/>
  <c r="I15" i="4"/>
  <c r="E15" i="4"/>
  <c r="G29" i="13"/>
  <c r="K10" i="13"/>
  <c r="F11" i="13" s="1"/>
  <c r="F19" i="13" s="1"/>
  <c r="F29" i="13"/>
  <c r="C10" i="4"/>
  <c r="F15" i="4"/>
  <c r="J15" i="4"/>
  <c r="E29" i="4"/>
  <c r="I30" i="4"/>
  <c r="C15" i="4"/>
  <c r="F29" i="4"/>
  <c r="G29" i="4"/>
  <c r="K10" i="4"/>
  <c r="H11" i="4" s="1"/>
  <c r="H19" i="4" s="1"/>
  <c r="F15" i="2"/>
  <c r="J23" i="2"/>
  <c r="F47" i="2" l="1"/>
  <c r="F46" i="2" s="1"/>
  <c r="J28" i="12"/>
  <c r="D63" i="12"/>
  <c r="E28" i="12"/>
  <c r="D66" i="12"/>
  <c r="F58" i="12"/>
  <c r="F29" i="12"/>
  <c r="I11" i="13"/>
  <c r="I19" i="13" s="1"/>
  <c r="E11" i="13"/>
  <c r="E19" i="13" s="1"/>
  <c r="H11" i="13"/>
  <c r="H19" i="13" s="1"/>
  <c r="D11" i="13"/>
  <c r="D19" i="13" s="1"/>
  <c r="G11" i="13"/>
  <c r="G19" i="13" s="1"/>
  <c r="C11" i="13"/>
  <c r="C19" i="13" s="1"/>
  <c r="J11" i="13"/>
  <c r="J19" i="13" s="1"/>
  <c r="B11" i="13"/>
  <c r="K15" i="4"/>
  <c r="C29" i="4"/>
  <c r="C30" i="4"/>
  <c r="C11" i="4"/>
  <c r="C19" i="4" s="1"/>
  <c r="J11" i="4"/>
  <c r="J19" i="4" s="1"/>
  <c r="G11" i="4"/>
  <c r="G19" i="4" s="1"/>
  <c r="E11" i="4"/>
  <c r="E19" i="4" s="1"/>
  <c r="I11" i="4"/>
  <c r="I19" i="4" s="1"/>
  <c r="D11" i="4"/>
  <c r="D19" i="4" s="1"/>
  <c r="F11" i="4"/>
  <c r="F19" i="4" s="1"/>
  <c r="B11" i="4"/>
  <c r="E16" i="4" s="1"/>
  <c r="E20" i="4" s="1"/>
  <c r="E21" i="4" s="1"/>
  <c r="D57" i="2"/>
  <c r="J27" i="2"/>
  <c r="D50" i="2"/>
  <c r="F28" i="2"/>
  <c r="D60" i="2"/>
  <c r="J37" i="8" s="1"/>
  <c r="J15" i="8" l="1"/>
  <c r="F57" i="12"/>
  <c r="D65" i="12" s="1"/>
  <c r="D68" i="12" s="1"/>
  <c r="J16" i="13"/>
  <c r="J20" i="13" s="1"/>
  <c r="J21" i="13" s="1"/>
  <c r="F16" i="13"/>
  <c r="F20" i="13" s="1"/>
  <c r="F21" i="13" s="1"/>
  <c r="I16" i="13"/>
  <c r="I20" i="13" s="1"/>
  <c r="I21" i="13" s="1"/>
  <c r="E16" i="13"/>
  <c r="E20" i="13" s="1"/>
  <c r="E21" i="13" s="1"/>
  <c r="H16" i="13"/>
  <c r="H20" i="13" s="1"/>
  <c r="H21" i="13" s="1"/>
  <c r="D16" i="13"/>
  <c r="D20" i="13" s="1"/>
  <c r="D21" i="13" s="1"/>
  <c r="K11" i="13"/>
  <c r="G16" i="13"/>
  <c r="G20" i="13" s="1"/>
  <c r="G21" i="13" s="1"/>
  <c r="C16" i="13"/>
  <c r="K19" i="13"/>
  <c r="J16" i="4"/>
  <c r="J20" i="4" s="1"/>
  <c r="J21" i="4" s="1"/>
  <c r="I22" i="8" s="1"/>
  <c r="I16" i="4"/>
  <c r="I20" i="4" s="1"/>
  <c r="I21" i="4" s="1"/>
  <c r="C10" i="3" s="1"/>
  <c r="H16" i="4"/>
  <c r="H20" i="4" s="1"/>
  <c r="H21" i="4" s="1"/>
  <c r="H22" i="4" s="1"/>
  <c r="G16" i="4"/>
  <c r="G20" i="4" s="1"/>
  <c r="G21" i="4" s="1"/>
  <c r="I30" i="8" s="1"/>
  <c r="C16" i="4"/>
  <c r="C20" i="4" s="1"/>
  <c r="D16" i="4"/>
  <c r="D20" i="4" s="1"/>
  <c r="D21" i="4" s="1"/>
  <c r="I16" i="8" s="1"/>
  <c r="K11" i="4"/>
  <c r="K19" i="4"/>
  <c r="F16" i="4"/>
  <c r="F20" i="4" s="1"/>
  <c r="F21" i="4" s="1"/>
  <c r="I29" i="8" s="1"/>
  <c r="C5" i="3"/>
  <c r="E22" i="4"/>
  <c r="C6" i="3"/>
  <c r="I28" i="8"/>
  <c r="I17" i="8"/>
  <c r="I7" i="8"/>
  <c r="C7" i="8" s="1"/>
  <c r="D49" i="2"/>
  <c r="D59" i="2"/>
  <c r="F52" i="2"/>
  <c r="D52" i="2" s="1"/>
  <c r="C17" i="8" l="1"/>
  <c r="C16" i="8"/>
  <c r="C22" i="8"/>
  <c r="F59" i="12"/>
  <c r="D59" i="12" s="1"/>
  <c r="E5" i="3"/>
  <c r="F5" i="3" s="1"/>
  <c r="D22" i="13"/>
  <c r="I38" i="8"/>
  <c r="C38" i="8" s="1"/>
  <c r="H22" i="13"/>
  <c r="I42" i="8"/>
  <c r="C42" i="8" s="1"/>
  <c r="E9" i="3"/>
  <c r="F9" i="3" s="1"/>
  <c r="I41" i="8"/>
  <c r="C41" i="8" s="1"/>
  <c r="E8" i="3"/>
  <c r="F8" i="3" s="1"/>
  <c r="G22" i="13"/>
  <c r="E22" i="13"/>
  <c r="E6" i="3"/>
  <c r="F6" i="3" s="1"/>
  <c r="I39" i="8"/>
  <c r="C39" i="8" s="1"/>
  <c r="I22" i="13"/>
  <c r="E10" i="3"/>
  <c r="F10" i="3" s="1"/>
  <c r="I43" i="8"/>
  <c r="C43" i="8" s="1"/>
  <c r="C20" i="13"/>
  <c r="K16" i="13"/>
  <c r="F22" i="13"/>
  <c r="I40" i="8"/>
  <c r="C40" i="8" s="1"/>
  <c r="E7" i="3"/>
  <c r="F7" i="3" s="1"/>
  <c r="E11" i="3"/>
  <c r="F11" i="3" s="1"/>
  <c r="J22" i="13"/>
  <c r="I44" i="8"/>
  <c r="C44" i="8" s="1"/>
  <c r="I11" i="8"/>
  <c r="C11" i="8" s="1"/>
  <c r="I21" i="8"/>
  <c r="C21" i="8" s="1"/>
  <c r="I22" i="4"/>
  <c r="I10" i="8"/>
  <c r="C10" i="8" s="1"/>
  <c r="I32" i="8"/>
  <c r="I20" i="8"/>
  <c r="C20" i="8" s="1"/>
  <c r="I33" i="8"/>
  <c r="I31" i="8"/>
  <c r="C9" i="3"/>
  <c r="D9" i="3" s="1"/>
  <c r="C7" i="3"/>
  <c r="I6" i="8"/>
  <c r="C6" i="8" s="1"/>
  <c r="I8" i="8"/>
  <c r="C8" i="8" s="1"/>
  <c r="I27" i="8"/>
  <c r="C8" i="3"/>
  <c r="D8" i="3" s="1"/>
  <c r="F22" i="4"/>
  <c r="D22" i="4"/>
  <c r="I9" i="8"/>
  <c r="C9" i="8" s="1"/>
  <c r="G22" i="4"/>
  <c r="J22" i="4"/>
  <c r="I19" i="8"/>
  <c r="C19" i="8" s="1"/>
  <c r="K16" i="4"/>
  <c r="I18" i="8"/>
  <c r="C18" i="8" s="1"/>
  <c r="I12" i="8"/>
  <c r="C12" i="8" s="1"/>
  <c r="C11" i="3"/>
  <c r="D11" i="3" s="1"/>
  <c r="K20" i="4"/>
  <c r="K21" i="4" s="1"/>
  <c r="C21" i="4"/>
  <c r="J26" i="8"/>
  <c r="D62" i="2"/>
  <c r="D6" i="3"/>
  <c r="D7" i="3"/>
  <c r="D10" i="3"/>
  <c r="D5" i="3"/>
  <c r="G8" i="3" l="1"/>
  <c r="G5" i="3"/>
  <c r="G10" i="3"/>
  <c r="G7" i="3"/>
  <c r="G6" i="3"/>
  <c r="G11" i="3"/>
  <c r="K20" i="13"/>
  <c r="K21" i="13" s="1"/>
  <c r="C21" i="13"/>
  <c r="G9" i="3"/>
  <c r="C22" i="4"/>
  <c r="K22" i="4" s="1"/>
  <c r="I26" i="8"/>
  <c r="I34" i="8" s="1"/>
  <c r="I15" i="8"/>
  <c r="I5" i="8"/>
  <c r="C4" i="3"/>
  <c r="C28" i="8"/>
  <c r="B63" i="8" s="1"/>
  <c r="C32" i="8"/>
  <c r="B67" i="8" s="1"/>
  <c r="C30" i="8"/>
  <c r="B65" i="8" s="1"/>
  <c r="C27" i="8"/>
  <c r="B62" i="8" s="1"/>
  <c r="C33" i="8"/>
  <c r="B68" i="8" s="1"/>
  <c r="J58" i="8"/>
  <c r="C31" i="8"/>
  <c r="B66" i="8" s="1"/>
  <c r="C29" i="8"/>
  <c r="B64" i="8" s="1"/>
  <c r="H6" i="3" l="1"/>
  <c r="H10" i="3"/>
  <c r="H11" i="3"/>
  <c r="H7" i="3"/>
  <c r="H5" i="3"/>
  <c r="H9" i="3"/>
  <c r="H8" i="3"/>
  <c r="E4" i="3"/>
  <c r="C22" i="13"/>
  <c r="K22" i="13" s="1"/>
  <c r="I37" i="8"/>
  <c r="C26" i="8"/>
  <c r="C12" i="3"/>
  <c r="D4" i="3"/>
  <c r="I13" i="8"/>
  <c r="C5" i="8"/>
  <c r="I23" i="8"/>
  <c r="C15" i="8"/>
  <c r="I45" i="8" l="1"/>
  <c r="C37" i="8"/>
  <c r="C58" i="8" s="1"/>
  <c r="E12" i="3"/>
  <c r="F4" i="3"/>
  <c r="F12" i="3" s="1"/>
  <c r="D12" i="3"/>
  <c r="B61" i="8" l="1"/>
  <c r="G4" i="3"/>
  <c r="G12" i="3" s="1"/>
  <c r="H4" i="3" l="1"/>
  <c r="H12" i="3" s="1"/>
  <c r="B69" i="8"/>
</calcChain>
</file>

<file path=xl/comments1.xml><?xml version="1.0" encoding="utf-8"?>
<comments xmlns="http://schemas.openxmlformats.org/spreadsheetml/2006/main">
  <authors>
    <author>Meyrjamal Metbagirova</author>
  </authors>
  <commentLis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Meyrjamal Metbagirova:</t>
        </r>
        <r>
          <rPr>
            <sz val="9"/>
            <color indexed="81"/>
            <rFont val="Tahoma"/>
            <family val="2"/>
            <charset val="204"/>
          </rPr>
          <t xml:space="preserve">
Salary -$574
Security Reserves - 6.5%
Reserve account - 0.5% 
Life insurance - $8.88
Medical insurance -$51.5
Support services fee of Copenhagen - $6.60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Meyrjamal Metbagirova:</t>
        </r>
        <r>
          <rPr>
            <sz val="9"/>
            <color indexed="81"/>
            <rFont val="Tahoma"/>
            <family val="2"/>
            <charset val="204"/>
          </rPr>
          <t xml:space="preserve">
Net salary - $1,807.75
Dependence Allowance - $105
Organization MIP contribution - $ 135.41
Organization Pension contribution - $ 352.62
</t>
        </r>
      </text>
    </comment>
    <comment ref="E19" authorId="0">
      <text>
        <r>
          <rPr>
            <b/>
            <sz val="9"/>
            <color indexed="81"/>
            <rFont val="Tahoma"/>
            <family val="2"/>
            <charset val="204"/>
          </rPr>
          <t>Meyrjamal Metbagirova:</t>
        </r>
        <r>
          <rPr>
            <sz val="9"/>
            <color indexed="81"/>
            <rFont val="Tahoma"/>
            <family val="2"/>
            <charset val="204"/>
          </rPr>
          <t xml:space="preserve">
Salary -$432.75
Security Reserves - 6.5%
Reserve account - 0.5% 
Life insurance - $8.88
Medical insurance -$51.5
Support services fee of Copenhagen - $6.60</t>
        </r>
      </text>
    </comment>
  </commentList>
</comments>
</file>

<file path=xl/comments2.xml><?xml version="1.0" encoding="utf-8"?>
<comments xmlns="http://schemas.openxmlformats.org/spreadsheetml/2006/main">
  <authors>
    <author>Meyrjamal Metbagirova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Meyrjamal Metbagirova:</t>
        </r>
        <r>
          <rPr>
            <sz val="9"/>
            <color indexed="81"/>
            <rFont val="Tahoma"/>
            <family val="2"/>
            <charset val="204"/>
          </rPr>
          <t xml:space="preserve">
+month salary for UNHCR Guard
</t>
        </r>
      </text>
    </comment>
  </commentList>
</comments>
</file>

<file path=xl/sharedStrings.xml><?xml version="1.0" encoding="utf-8"?>
<sst xmlns="http://schemas.openxmlformats.org/spreadsheetml/2006/main" count="583" uniqueCount="240">
  <si>
    <t>Security Guards</t>
  </si>
  <si>
    <t>#</t>
  </si>
  <si>
    <t>Salary/month</t>
  </si>
  <si>
    <t>Salary/year</t>
  </si>
  <si>
    <t>Arslan Kurbanniyazov</t>
  </si>
  <si>
    <t>Batyr Saparov</t>
  </si>
  <si>
    <t>Igor Feld</t>
  </si>
  <si>
    <t>Ishanguly Deryakuliyev</t>
  </si>
  <si>
    <t>Igor Nurmetov</t>
  </si>
  <si>
    <t>Ramiz Iskanderov</t>
  </si>
  <si>
    <t>Vyacheslav Shapovalov</t>
  </si>
  <si>
    <t>Dadashev Ali</t>
  </si>
  <si>
    <t>TOTAL</t>
  </si>
  <si>
    <t>Support staff</t>
  </si>
  <si>
    <t>Maintenance Engineer</t>
  </si>
  <si>
    <t>Gardener</t>
  </si>
  <si>
    <t>Cleaner (Gozel Hallyeva)</t>
  </si>
  <si>
    <t>Cleaner (Sheker Kuliyeva)</t>
  </si>
  <si>
    <t>Cleaner (Rozygul Charyeva)</t>
  </si>
  <si>
    <r>
      <t>Cleaner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(Tatyana Korobova)</t>
    </r>
  </si>
  <si>
    <t>Utilities and Heating</t>
  </si>
  <si>
    <t>Supplies and Material</t>
  </si>
  <si>
    <t>Total</t>
  </si>
  <si>
    <t>GRAND TOTAL</t>
  </si>
  <si>
    <t>Activity 1</t>
  </si>
  <si>
    <t>Activity 3</t>
  </si>
  <si>
    <t>Activity 4</t>
  </si>
  <si>
    <t>Activity ID</t>
  </si>
  <si>
    <t>Description</t>
  </si>
  <si>
    <t>Amount</t>
  </si>
  <si>
    <t>Account</t>
  </si>
  <si>
    <t>Fund</t>
  </si>
  <si>
    <t>Implementing Agent</t>
  </si>
  <si>
    <t>Donor</t>
  </si>
  <si>
    <t>DONOR NAME</t>
  </si>
  <si>
    <t>%</t>
  </si>
  <si>
    <t>ACTIVITY1</t>
  </si>
  <si>
    <t>Common Staff Services</t>
  </si>
  <si>
    <t>001981</t>
  </si>
  <si>
    <t>00012</t>
  </si>
  <si>
    <t>UNDP</t>
  </si>
  <si>
    <t>00040</t>
  </si>
  <si>
    <t>UNHCR</t>
  </si>
  <si>
    <t>00035</t>
  </si>
  <si>
    <t>UNICEF</t>
  </si>
  <si>
    <t>UNFPA</t>
  </si>
  <si>
    <t>00043</t>
  </si>
  <si>
    <t>IOM</t>
  </si>
  <si>
    <t>00028</t>
  </si>
  <si>
    <t>UNODC</t>
  </si>
  <si>
    <t>UNDSS</t>
  </si>
  <si>
    <t>00006</t>
  </si>
  <si>
    <t>WHO</t>
  </si>
  <si>
    <t>ACTIVITY3</t>
  </si>
  <si>
    <t>Utilities and Supplies</t>
  </si>
  <si>
    <t>ACTIVITY4</t>
  </si>
  <si>
    <t>Security</t>
  </si>
  <si>
    <t>Total budget</t>
  </si>
  <si>
    <t>Agency</t>
  </si>
  <si>
    <t>Cost/Agency/ year</t>
  </si>
  <si>
    <t>A) AREA</t>
  </si>
  <si>
    <t>COMMON</t>
  </si>
  <si>
    <r>
      <t>UN Yard Area m</t>
    </r>
    <r>
      <rPr>
        <sz val="10"/>
        <rFont val="Arial"/>
        <family val="2"/>
        <charset val="186"/>
      </rPr>
      <t>2</t>
    </r>
  </si>
  <si>
    <r>
      <t>Basement Area m</t>
    </r>
    <r>
      <rPr>
        <sz val="10"/>
        <rFont val="Arial"/>
        <family val="2"/>
        <charset val="186"/>
      </rPr>
      <t>2</t>
    </r>
  </si>
  <si>
    <r>
      <t>1st Floor Area m</t>
    </r>
    <r>
      <rPr>
        <sz val="10"/>
        <rFont val="Arial"/>
        <family val="2"/>
        <charset val="186"/>
      </rPr>
      <t>2</t>
    </r>
  </si>
  <si>
    <t>2nd Floor Area m2</t>
  </si>
  <si>
    <t>3rd Floor Area m2</t>
  </si>
  <si>
    <t>4th Floor Area m2</t>
  </si>
  <si>
    <t>Total Area m2 occupied per Agency</t>
  </si>
  <si>
    <t>% Total Area occupied per Agency</t>
  </si>
  <si>
    <t>B) STAFF</t>
  </si>
  <si>
    <t>Number of Staff per Agency</t>
  </si>
  <si>
    <t>% Staff per Agency</t>
  </si>
  <si>
    <t>% Staff proportional to Common Area</t>
  </si>
  <si>
    <t>C) TOTAL APPORTIONMENT</t>
  </si>
  <si>
    <t>Total Agency Apportionment (rounded)</t>
  </si>
  <si>
    <t xml:space="preserve">*) Total Agency Apportionment has been calculated using the percentage of Area occupied per Agency plus the percentage of staff per Agency proportional to the total Common Area. </t>
  </si>
  <si>
    <t>Total:</t>
  </si>
  <si>
    <t>Total costs</t>
  </si>
  <si>
    <t>Comments</t>
  </si>
  <si>
    <t>QTY</t>
  </si>
  <si>
    <t>Costs/month</t>
  </si>
  <si>
    <t>3rd Floor Area - corridor - m2</t>
  </si>
  <si>
    <t>Toilet paper, towels,cleaning means, lamps, stationary for CP staff</t>
  </si>
  <si>
    <t>UNDP support cost</t>
  </si>
  <si>
    <t>Azat Annaorazov</t>
  </si>
  <si>
    <t>Current contract (2009)</t>
  </si>
  <si>
    <t>Planning contract</t>
  </si>
  <si>
    <t>staff</t>
  </si>
  <si>
    <t>G</t>
  </si>
  <si>
    <t xml:space="preserve">Level </t>
  </si>
  <si>
    <t>salary by Salary scale</t>
  </si>
  <si>
    <t>increased one level</t>
  </si>
  <si>
    <t>Salary by Salary Scale</t>
  </si>
  <si>
    <t>salary  increased 20% +4%</t>
  </si>
  <si>
    <t>Andrey Arutyunyan</t>
  </si>
  <si>
    <t xml:space="preserve">Gardener </t>
  </si>
  <si>
    <t>Cleaners</t>
  </si>
  <si>
    <t>Cleaner (Annagozel Ashirova)</t>
  </si>
  <si>
    <r>
      <t>Cleaner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(Farida Muradova)</t>
    </r>
  </si>
  <si>
    <t>current salary</t>
  </si>
  <si>
    <t>G/L</t>
  </si>
  <si>
    <t>SB-1/Q3</t>
  </si>
  <si>
    <t>SB-1/MID (60)</t>
  </si>
  <si>
    <t>Feld Igor</t>
  </si>
  <si>
    <t>Shapavalov Vyacheslav</t>
  </si>
  <si>
    <t>Salyhov Bayram</t>
  </si>
  <si>
    <t>SB-1/Q1</t>
  </si>
  <si>
    <t>SB-1/Min</t>
  </si>
  <si>
    <t>(2) Contingency- to meet urgent requirements. Any left over balance will be transferred into the next year's budget.</t>
  </si>
  <si>
    <t>SB-2/MID (60)</t>
  </si>
  <si>
    <t>Short-term replacements</t>
  </si>
  <si>
    <t xml:space="preserve">Contingency </t>
  </si>
  <si>
    <t xml:space="preserve">UNHCR Guard </t>
  </si>
  <si>
    <t>(1) Short-term replacements - to cover absences of maintenance  staff (guards, cleaners, receptionist and gardener)</t>
  </si>
  <si>
    <t>annual salary of guards + short term replacement, except for UNHCR Guard</t>
  </si>
  <si>
    <t>UNHCR guard+Replacement during annual leave</t>
  </si>
  <si>
    <t xml:space="preserve">Deryakulyev Ishanguly </t>
  </si>
  <si>
    <t>Nurmetov Igor</t>
  </si>
  <si>
    <t>Kurbanniyazov Arslan</t>
  </si>
  <si>
    <t>Artunyan Andrey</t>
  </si>
  <si>
    <t>Saparov Batyr</t>
  </si>
  <si>
    <t>Iskenderov Ramis</t>
  </si>
  <si>
    <t>Mametorazov Azat</t>
  </si>
  <si>
    <t>Durdukhanov Juma</t>
  </si>
  <si>
    <t>Charyeva Rozagul</t>
  </si>
  <si>
    <t>Kuliyeva Sheker</t>
  </si>
  <si>
    <t>Farida Muradova</t>
  </si>
  <si>
    <t>Electricity, waste collection, water supply and heat supply</t>
  </si>
  <si>
    <t>current salary/ month</t>
  </si>
  <si>
    <t>salary per scale</t>
  </si>
  <si>
    <t>Jumamurad Durdyhanov</t>
  </si>
  <si>
    <t>ok</t>
  </si>
  <si>
    <t>Arslan Kurbaniyazov</t>
  </si>
  <si>
    <t>Rozygul Charyyeva</t>
  </si>
  <si>
    <t>Muhammetbayram Salyhov</t>
  </si>
  <si>
    <t>Azat Mametorazov</t>
  </si>
  <si>
    <t>Sheker Kuliyeva</t>
  </si>
  <si>
    <t>density</t>
  </si>
  <si>
    <t>without basement</t>
  </si>
  <si>
    <t>absolute value without basement yard</t>
  </si>
  <si>
    <t>Staff cost/month</t>
  </si>
  <si>
    <t>Meyrjamal Metbagirova</t>
  </si>
  <si>
    <t>Ryskal Anna</t>
  </si>
  <si>
    <t>Muradova Farida</t>
  </si>
  <si>
    <t xml:space="preserve">annual salaries of all CP staff+short-term replacements except short-term replacements for Sec Guards, UNHCR guard and except salary of CS Manager  </t>
  </si>
  <si>
    <t>Anna Ryskal</t>
  </si>
  <si>
    <t>Aygul Achilova</t>
  </si>
  <si>
    <t>annual salary of  CS Manager</t>
  </si>
  <si>
    <t>Lilia Mammieva</t>
  </si>
  <si>
    <t>Staff salary/month</t>
  </si>
  <si>
    <t>Total cost/month</t>
  </si>
  <si>
    <t>Total Agency Apportionment (A + B)*</t>
  </si>
  <si>
    <t>number of procurement cases; recruitment cases, vouchers made; payroll and administrative services provided to all CS staff</t>
  </si>
  <si>
    <t>Janna Agaeva</t>
  </si>
  <si>
    <t>Current Salary of CS staff (SC holders)</t>
  </si>
  <si>
    <t>Draft Budget for 2014</t>
  </si>
  <si>
    <t>Email services/Internet for CS staff/mobile</t>
  </si>
  <si>
    <t>Actibity 4</t>
  </si>
  <si>
    <t>Activity 5</t>
  </si>
  <si>
    <t xml:space="preserve">Renovation of the central heating system in the basement </t>
  </si>
  <si>
    <t>WC construction at the 4th floor</t>
  </si>
  <si>
    <t xml:space="preserve">Operating Costs </t>
  </si>
  <si>
    <t>Post#1 Reconstruction</t>
  </si>
  <si>
    <t xml:space="preserve">Maintenance of the building and systems </t>
  </si>
  <si>
    <t xml:space="preserve">maintenance of the generator </t>
  </si>
  <si>
    <t>equipping of the technical staff of CS with tools, facilities</t>
  </si>
  <si>
    <t>Desinfection of the building</t>
  </si>
  <si>
    <t>Consulting Services/Trainings</t>
  </si>
  <si>
    <t>Procurement of goods</t>
  </si>
  <si>
    <t>Procurement of refrigerator for Security Guards</t>
  </si>
  <si>
    <t>Capital investments (savings from 2013 year)</t>
  </si>
  <si>
    <t>Activity3 + contingency</t>
  </si>
  <si>
    <t>Procurement of vacuum cleaners</t>
  </si>
  <si>
    <t>$150 per vacuum cleaner</t>
  </si>
  <si>
    <t>Common Services Manager, Receptionist, maintenance engineer. $2,124 per quarter=$8,496 annually+$78.67(Danimex) satellite connection for RC</t>
  </si>
  <si>
    <t>maintenace of the roof</t>
  </si>
  <si>
    <t>Retreat/coffee-breaks, stationary for trainings</t>
  </si>
  <si>
    <t>Repairing/construction works</t>
  </si>
  <si>
    <t xml:space="preserve">Procurement of office furniture for CS office </t>
  </si>
  <si>
    <t xml:space="preserve">2desk cupboards for CS office-$100; </t>
  </si>
  <si>
    <t>Development of the project for renovation of the sewage and water systems</t>
  </si>
  <si>
    <t xml:space="preserve"> to be paid from the savings left from the last year</t>
  </si>
  <si>
    <t>Driver for the cleaners (3 months)</t>
  </si>
  <si>
    <t>$7,461 (preliminary)</t>
  </si>
  <si>
    <t>Refilling of the fire extinquishers</t>
  </si>
  <si>
    <t>Outdoor lightening improvement</t>
  </si>
  <si>
    <r>
      <t xml:space="preserve">$113 per light-emitting diod lamp * 4= </t>
    </r>
    <r>
      <rPr>
        <b/>
        <sz val="12"/>
        <rFont val="Times New Roman"/>
        <family val="1"/>
        <charset val="204"/>
      </rPr>
      <t>$450</t>
    </r>
    <r>
      <rPr>
        <sz val="12"/>
        <rFont val="Times New Roman"/>
        <family val="1"/>
        <charset val="204"/>
      </rPr>
      <t xml:space="preserve"> </t>
    </r>
  </si>
  <si>
    <t>Maintenance of video surveillance and fire alarming systems</t>
  </si>
  <si>
    <r>
      <t>$211 for maintenance of video surveillance; $175.4-for fire alarming system-</t>
    </r>
    <r>
      <rPr>
        <b/>
        <sz val="12"/>
        <rFont val="Times New Roman"/>
        <family val="1"/>
        <charset val="204"/>
      </rPr>
      <t xml:space="preserve">$386. </t>
    </r>
  </si>
  <si>
    <t>Development of the project for renovation of the fire alarming system</t>
  </si>
  <si>
    <t>security-related activities</t>
  </si>
  <si>
    <t xml:space="preserve">As per Fire Management Department's instructions </t>
  </si>
  <si>
    <t xml:space="preserve">(2) Contingency- to meet urgent requirements. </t>
  </si>
  <si>
    <t>Contingency (2)</t>
  </si>
  <si>
    <t>Short-term replacements(1)</t>
  </si>
  <si>
    <t>Capital investments (savings from previous year)(3)</t>
  </si>
  <si>
    <t>(3) Funds of this activity are annually formed by unused budget balances left from previous financial years</t>
  </si>
  <si>
    <t xml:space="preserve">Agency </t>
  </si>
  <si>
    <t xml:space="preserve">Amount </t>
  </si>
  <si>
    <t>Total budget amount</t>
  </si>
  <si>
    <t>Signatures</t>
  </si>
  <si>
    <t xml:space="preserve">Name of the Representative </t>
  </si>
  <si>
    <t>Vacant</t>
  </si>
  <si>
    <t>Operating costs for 2015 (salaries, utilities and supplies)</t>
  </si>
  <si>
    <t xml:space="preserve">**) The common UN House staff (CS Manager, Receptionists, Guards, Cleaners, Gardener, Engineer) is not included in the number of agency staff. </t>
  </si>
  <si>
    <t>additional space</t>
  </si>
  <si>
    <t>Shared kitchen</t>
  </si>
  <si>
    <t>Large WB room</t>
  </si>
  <si>
    <t>Total space added</t>
  </si>
  <si>
    <t>Oraz's room</t>
  </si>
  <si>
    <t>Server room</t>
  </si>
  <si>
    <t>Serdar's room</t>
  </si>
  <si>
    <t xml:space="preserve">**) The common UN House staff (CS Manager, Receptionist, Guards, Cleaners, Gardener, Engineer) is not included in the number of agency staff. </t>
  </si>
  <si>
    <t>ACTIVITY5</t>
  </si>
  <si>
    <t>Capital Investments</t>
  </si>
  <si>
    <t>$4,521.40 (preliminary)</t>
  </si>
  <si>
    <t>Cost-sharing formula for Activities 1 and 3</t>
  </si>
  <si>
    <t>Cost-sharing formula for Activity 4</t>
  </si>
  <si>
    <t>Sundries</t>
  </si>
  <si>
    <t xml:space="preserve">Bank charges </t>
  </si>
  <si>
    <t>Procurement of diesel oil</t>
  </si>
  <si>
    <t xml:space="preserve">Advertisement </t>
  </si>
  <si>
    <t>Publication of advertisements for tender and roster</t>
  </si>
  <si>
    <t>Repairing of corridor at 4th floor</t>
  </si>
  <si>
    <t>%  Act1&amp;3</t>
  </si>
  <si>
    <t>Activity 1 and 3</t>
  </si>
  <si>
    <t>%  Act4</t>
  </si>
  <si>
    <t>Act1&amp;3/   month</t>
  </si>
  <si>
    <t>Activity 4/   month</t>
  </si>
  <si>
    <t>Total month</t>
  </si>
  <si>
    <t>Activity 4 (UNHCR)</t>
  </si>
  <si>
    <t>Renovation of the water pipes in the pumping room</t>
  </si>
  <si>
    <t>$150 - materials; $250 - works</t>
  </si>
  <si>
    <t>Monthly budget</t>
  </si>
  <si>
    <t>Repairing of the roof at the 2nd and 4th floors</t>
  </si>
  <si>
    <t>1 recruitment case, 150 payments, payroll and administrative services provided to all CS staff (19 persons)</t>
  </si>
  <si>
    <t>CS Budget for 2015</t>
  </si>
  <si>
    <t>Annex B - 2015 Common Services Budget</t>
  </si>
  <si>
    <t>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</si>
</sst>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&quot;$&quot;#,##0"/>
    <numFmt numFmtId="166" formatCode="0.0"/>
    <numFmt numFmtId="167" formatCode="0.0%"/>
    <numFmt numFmtId="168" formatCode="&quot;$&quot;#,##0.0"/>
  </numFmts>
  <fonts count="42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name val="Arial Unicode MS"/>
      <family val="2"/>
    </font>
    <font>
      <sz val="10"/>
      <name val="Arial Unicode MS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color indexed="48"/>
      <name val="Arial"/>
      <family val="2"/>
    </font>
    <font>
      <b/>
      <sz val="10"/>
      <color indexed="12"/>
      <name val="Arial"/>
      <family val="2"/>
      <charset val="186"/>
    </font>
    <font>
      <sz val="10"/>
      <color indexed="12"/>
      <name val="Arial"/>
      <family val="2"/>
      <charset val="186"/>
    </font>
    <font>
      <b/>
      <u/>
      <sz val="14"/>
      <name val="Myriad Pro"/>
      <family val="2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Arial Unicode MS"/>
      <family val="2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sz val="10"/>
      <color theme="0"/>
      <name val="Arial Unicode MS"/>
      <family val="2"/>
    </font>
    <font>
      <sz val="10"/>
      <color theme="0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</cellStyleXfs>
  <cellXfs count="356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6" fillId="2" borderId="1" xfId="0" applyFont="1" applyFill="1" applyBorder="1" applyAlignment="1">
      <alignment horizontal="center"/>
    </xf>
    <xf numFmtId="0" fontId="5" fillId="3" borderId="1" xfId="0" applyFont="1" applyFill="1" applyBorder="1"/>
    <xf numFmtId="0" fontId="0" fillId="0" borderId="1" xfId="0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0" fontId="0" fillId="0" borderId="0" xfId="0" applyAlignment="1">
      <alignment horizontal="right"/>
    </xf>
    <xf numFmtId="10" fontId="0" fillId="0" borderId="0" xfId="0" applyNumberFormat="1"/>
    <xf numFmtId="4" fontId="0" fillId="0" borderId="0" xfId="0" applyNumberFormat="1"/>
    <xf numFmtId="0" fontId="7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164" fontId="8" fillId="0" borderId="2" xfId="0" applyNumberFormat="1" applyFont="1" applyBorder="1" applyAlignment="1">
      <alignment wrapText="1"/>
    </xf>
    <xf numFmtId="0" fontId="8" fillId="0" borderId="2" xfId="0" quotePrefix="1" applyFont="1" applyBorder="1" applyAlignment="1">
      <alignment horizontal="right" wrapText="1"/>
    </xf>
    <xf numFmtId="0" fontId="8" fillId="0" borderId="4" xfId="0" applyFont="1" applyFill="1" applyBorder="1" applyAlignment="1">
      <alignment wrapText="1"/>
    </xf>
    <xf numFmtId="0" fontId="0" fillId="0" borderId="5" xfId="0" applyBorder="1"/>
    <xf numFmtId="0" fontId="8" fillId="0" borderId="2" xfId="0" applyFont="1" applyBorder="1" applyAlignment="1">
      <alignment horizontal="right" wrapText="1"/>
    </xf>
    <xf numFmtId="0" fontId="0" fillId="0" borderId="5" xfId="0" applyFill="1" applyBorder="1"/>
    <xf numFmtId="10" fontId="0" fillId="0" borderId="0" xfId="0" applyNumberFormat="1" applyBorder="1"/>
    <xf numFmtId="0" fontId="0" fillId="0" borderId="6" xfId="0" applyBorder="1"/>
    <xf numFmtId="0" fontId="3" fillId="0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10" fontId="10" fillId="4" borderId="1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/>
    </xf>
    <xf numFmtId="166" fontId="11" fillId="6" borderId="7" xfId="0" applyNumberFormat="1" applyFont="1" applyFill="1" applyBorder="1" applyAlignment="1">
      <alignment horizontal="left" vertical="center" indent="1"/>
    </xf>
    <xf numFmtId="166" fontId="11" fillId="6" borderId="8" xfId="0" applyNumberFormat="1" applyFont="1" applyFill="1" applyBorder="1" applyAlignment="1">
      <alignment horizontal="center" vertical="center"/>
    </xf>
    <xf numFmtId="166" fontId="11" fillId="6" borderId="9" xfId="0" applyNumberFormat="1" applyFont="1" applyFill="1" applyBorder="1" applyAlignment="1">
      <alignment horizontal="center" vertical="center"/>
    </xf>
    <xf numFmtId="166" fontId="0" fillId="0" borderId="10" xfId="0" applyNumberFormat="1" applyBorder="1" applyAlignment="1">
      <alignment horizontal="left" vertical="center" indent="1"/>
    </xf>
    <xf numFmtId="2" fontId="0" fillId="0" borderId="1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left" vertical="center" indent="3"/>
    </xf>
    <xf numFmtId="2" fontId="0" fillId="0" borderId="12" xfId="0" applyNumberFormat="1" applyBorder="1" applyAlignment="1">
      <alignment horizontal="left" vertical="center" indent="3"/>
    </xf>
    <xf numFmtId="166" fontId="0" fillId="0" borderId="13" xfId="0" applyNumberFormat="1" applyBorder="1" applyAlignment="1">
      <alignment horizontal="left" vertical="center" indent="1"/>
    </xf>
    <xf numFmtId="2" fontId="0" fillId="0" borderId="1" xfId="0" applyNumberFormat="1" applyBorder="1" applyAlignment="1">
      <alignment horizontal="left" vertical="center" indent="3"/>
    </xf>
    <xf numFmtId="2" fontId="0" fillId="0" borderId="14" xfId="0" applyNumberFormat="1" applyBorder="1" applyAlignment="1">
      <alignment horizontal="left" vertical="center" indent="3"/>
    </xf>
    <xf numFmtId="166" fontId="12" fillId="0" borderId="13" xfId="0" applyNumberFormat="1" applyFont="1" applyBorder="1" applyAlignment="1">
      <alignment horizontal="left" vertical="center" indent="1"/>
    </xf>
    <xf numFmtId="2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left" vertical="center" indent="3"/>
    </xf>
    <xf numFmtId="0" fontId="12" fillId="0" borderId="0" xfId="0" applyFont="1"/>
    <xf numFmtId="166" fontId="0" fillId="0" borderId="15" xfId="0" applyNumberFormat="1" applyBorder="1" applyAlignment="1">
      <alignment horizontal="left" vertical="center" indent="1"/>
    </xf>
    <xf numFmtId="166" fontId="0" fillId="0" borderId="0" xfId="0" applyNumberFormat="1"/>
    <xf numFmtId="166" fontId="0" fillId="0" borderId="17" xfId="0" applyNumberFormat="1" applyBorder="1" applyAlignment="1">
      <alignment horizontal="left" indent="3"/>
    </xf>
    <xf numFmtId="166" fontId="0" fillId="0" borderId="0" xfId="0" applyNumberFormat="1" applyAlignment="1">
      <alignment horizontal="left" indent="3"/>
    </xf>
    <xf numFmtId="10" fontId="13" fillId="7" borderId="22" xfId="3" applyNumberFormat="1" applyFont="1" applyFill="1" applyBorder="1" applyAlignment="1">
      <alignment horizontal="center" vertical="center"/>
    </xf>
    <xf numFmtId="10" fontId="14" fillId="7" borderId="22" xfId="3" applyNumberFormat="1" applyFont="1" applyFill="1" applyBorder="1" applyAlignment="1">
      <alignment horizontal="center" vertical="center"/>
    </xf>
    <xf numFmtId="167" fontId="14" fillId="7" borderId="21" xfId="3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3"/>
    </xf>
    <xf numFmtId="0" fontId="0" fillId="0" borderId="0" xfId="0" applyAlignment="1">
      <alignment horizontal="center"/>
    </xf>
    <xf numFmtId="164" fontId="5" fillId="0" borderId="0" xfId="0" applyNumberFormat="1" applyFont="1"/>
    <xf numFmtId="4" fontId="5" fillId="0" borderId="0" xfId="0" applyNumberFormat="1" applyFont="1"/>
    <xf numFmtId="0" fontId="16" fillId="0" borderId="0" xfId="0" applyFont="1"/>
    <xf numFmtId="0" fontId="0" fillId="0" borderId="1" xfId="0" applyBorder="1" applyAlignment="1">
      <alignment vertical="top" wrapText="1"/>
    </xf>
    <xf numFmtId="10" fontId="7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/>
    <xf numFmtId="10" fontId="8" fillId="0" borderId="1" xfId="0" applyNumberFormat="1" applyFont="1" applyFill="1" applyBorder="1" applyAlignment="1">
      <alignment wrapText="1"/>
    </xf>
    <xf numFmtId="4" fontId="8" fillId="0" borderId="1" xfId="0" applyNumberFormat="1" applyFont="1" applyFill="1" applyBorder="1" applyAlignment="1">
      <alignment wrapText="1"/>
    </xf>
    <xf numFmtId="10" fontId="0" fillId="0" borderId="1" xfId="0" applyNumberFormat="1" applyBorder="1"/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6" fontId="0" fillId="0" borderId="1" xfId="0" applyNumberFormat="1" applyBorder="1" applyAlignment="1">
      <alignment horizontal="center"/>
    </xf>
    <xf numFmtId="8" fontId="0" fillId="8" borderId="1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6" fontId="0" fillId="8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6" fontId="0" fillId="0" borderId="1" xfId="0" applyNumberFormat="1" applyFill="1" applyBorder="1" applyAlignment="1">
      <alignment horizontal="center"/>
    </xf>
    <xf numFmtId="0" fontId="24" fillId="0" borderId="2" xfId="0" applyFont="1" applyBorder="1" applyAlignment="1">
      <alignment wrapText="1"/>
    </xf>
    <xf numFmtId="164" fontId="24" fillId="0" borderId="2" xfId="0" applyNumberFormat="1" applyFont="1" applyBorder="1" applyAlignment="1">
      <alignment wrapText="1"/>
    </xf>
    <xf numFmtId="0" fontId="24" fillId="0" borderId="2" xfId="0" applyFont="1" applyBorder="1" applyAlignment="1">
      <alignment horizontal="right" wrapText="1"/>
    </xf>
    <xf numFmtId="0" fontId="24" fillId="0" borderId="2" xfId="0" quotePrefix="1" applyFont="1" applyBorder="1" applyAlignment="1">
      <alignment horizontal="right" wrapText="1"/>
    </xf>
    <xf numFmtId="0" fontId="25" fillId="0" borderId="5" xfId="0" applyFont="1" applyFill="1" applyBorder="1"/>
    <xf numFmtId="10" fontId="24" fillId="0" borderId="1" xfId="0" applyNumberFormat="1" applyFont="1" applyFill="1" applyBorder="1" applyAlignment="1">
      <alignment wrapText="1"/>
    </xf>
    <xf numFmtId="4" fontId="4" fillId="0" borderId="1" xfId="0" applyNumberFormat="1" applyFont="1" applyBorder="1"/>
    <xf numFmtId="2" fontId="0" fillId="9" borderId="11" xfId="0" applyNumberFormat="1" applyFill="1" applyBorder="1" applyAlignment="1">
      <alignment horizontal="left" vertical="center" indent="3"/>
    </xf>
    <xf numFmtId="2" fontId="0" fillId="9" borderId="1" xfId="0" applyNumberFormat="1" applyFill="1" applyBorder="1" applyAlignment="1">
      <alignment horizontal="left" vertical="center" indent="3"/>
    </xf>
    <xf numFmtId="0" fontId="0" fillId="0" borderId="1" xfId="0" applyFill="1" applyBorder="1"/>
    <xf numFmtId="4" fontId="0" fillId="0" borderId="1" xfId="0" applyNumberFormat="1" applyFill="1" applyBorder="1"/>
    <xf numFmtId="164" fontId="8" fillId="0" borderId="2" xfId="0" applyNumberFormat="1" applyFont="1" applyFill="1" applyBorder="1" applyAlignment="1">
      <alignment wrapText="1"/>
    </xf>
    <xf numFmtId="0" fontId="0" fillId="0" borderId="0" xfId="0" applyBorder="1"/>
    <xf numFmtId="164" fontId="0" fillId="0" borderId="1" xfId="0" applyNumberFormat="1" applyBorder="1"/>
    <xf numFmtId="0" fontId="27" fillId="0" borderId="1" xfId="0" applyFont="1" applyFill="1" applyBorder="1"/>
    <xf numFmtId="164" fontId="0" fillId="0" borderId="1" xfId="0" applyNumberFormat="1" applyBorder="1" applyAlignment="1">
      <alignment horizontal="right"/>
    </xf>
    <xf numFmtId="10" fontId="0" fillId="0" borderId="0" xfId="0" applyNumberFormat="1" applyAlignment="1">
      <alignment horizontal="left" indent="3"/>
    </xf>
    <xf numFmtId="43" fontId="0" fillId="0" borderId="0" xfId="1" applyFont="1"/>
    <xf numFmtId="43" fontId="0" fillId="0" borderId="0" xfId="0" applyNumberFormat="1"/>
    <xf numFmtId="166" fontId="5" fillId="0" borderId="0" xfId="0" applyNumberFormat="1" applyFont="1"/>
    <xf numFmtId="166" fontId="5" fillId="0" borderId="0" xfId="0" applyNumberFormat="1" applyFont="1" applyAlignment="1">
      <alignment horizontal="left" indent="3"/>
    </xf>
    <xf numFmtId="2" fontId="5" fillId="0" borderId="0" xfId="3" applyNumberFormat="1" applyFont="1" applyAlignment="1">
      <alignment horizontal="left" indent="3"/>
    </xf>
    <xf numFmtId="0" fontId="28" fillId="0" borderId="0" xfId="0" applyFont="1"/>
    <xf numFmtId="0" fontId="17" fillId="0" borderId="0" xfId="0" applyFont="1"/>
    <xf numFmtId="0" fontId="28" fillId="0" borderId="0" xfId="0" applyFont="1" applyFill="1"/>
    <xf numFmtId="0" fontId="18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24" xfId="0" applyFont="1" applyFill="1" applyBorder="1" applyAlignment="1">
      <alignment horizontal="center"/>
    </xf>
    <xf numFmtId="9" fontId="17" fillId="0" borderId="0" xfId="0" applyNumberFormat="1" applyFont="1" applyFill="1"/>
    <xf numFmtId="0" fontId="17" fillId="0" borderId="0" xfId="0" applyFont="1" applyFill="1"/>
    <xf numFmtId="0" fontId="17" fillId="0" borderId="1" xfId="0" applyFont="1" applyBorder="1"/>
    <xf numFmtId="2" fontId="17" fillId="9" borderId="1" xfId="0" applyNumberFormat="1" applyFont="1" applyFill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64" fontId="28" fillId="0" borderId="1" xfId="0" applyNumberFormat="1" applyFont="1" applyFill="1" applyBorder="1" applyAlignment="1">
      <alignment horizontal="center"/>
    </xf>
    <xf numFmtId="2" fontId="28" fillId="0" borderId="0" xfId="0" applyNumberFormat="1" applyFont="1"/>
    <xf numFmtId="2" fontId="28" fillId="8" borderId="0" xfId="0" applyNumberFormat="1" applyFont="1" applyFill="1"/>
    <xf numFmtId="0" fontId="28" fillId="0" borderId="0" xfId="0" applyFont="1" applyAlignment="1">
      <alignment horizontal="right"/>
    </xf>
    <xf numFmtId="0" fontId="17" fillId="0" borderId="1" xfId="0" applyFont="1" applyFill="1" applyBorder="1"/>
    <xf numFmtId="164" fontId="17" fillId="0" borderId="1" xfId="0" applyNumberFormat="1" applyFont="1" applyFill="1" applyBorder="1" applyAlignment="1">
      <alignment horizontal="center"/>
    </xf>
    <xf numFmtId="164" fontId="28" fillId="0" borderId="0" xfId="0" applyNumberFormat="1" applyFont="1" applyFill="1"/>
    <xf numFmtId="2" fontId="28" fillId="0" borderId="0" xfId="0" applyNumberFormat="1" applyFont="1" applyFill="1"/>
    <xf numFmtId="0" fontId="28" fillId="0" borderId="0" xfId="0" applyFont="1" applyFill="1" applyAlignment="1">
      <alignment horizontal="right"/>
    </xf>
    <xf numFmtId="2" fontId="17" fillId="0" borderId="1" xfId="0" applyNumberFormat="1" applyFont="1" applyBorder="1" applyAlignment="1">
      <alignment horizontal="center"/>
    </xf>
    <xf numFmtId="164" fontId="17" fillId="0" borderId="23" xfId="0" applyNumberFormat="1" applyFont="1" applyBorder="1" applyAlignment="1">
      <alignment horizontal="center"/>
    </xf>
    <xf numFmtId="164" fontId="17" fillId="9" borderId="1" xfId="0" applyNumberFormat="1" applyFont="1" applyFill="1" applyBorder="1" applyAlignment="1">
      <alignment horizontal="center"/>
    </xf>
    <xf numFmtId="0" fontId="19" fillId="10" borderId="1" xfId="0" applyFont="1" applyFill="1" applyBorder="1"/>
    <xf numFmtId="2" fontId="19" fillId="10" borderId="1" xfId="0" applyNumberFormat="1" applyFont="1" applyFill="1" applyBorder="1" applyAlignment="1">
      <alignment horizontal="center"/>
    </xf>
    <xf numFmtId="164" fontId="19" fillId="10" borderId="1" xfId="0" applyNumberFormat="1" applyFont="1" applyFill="1" applyBorder="1" applyAlignment="1">
      <alignment horizontal="center"/>
    </xf>
    <xf numFmtId="164" fontId="28" fillId="0" borderId="0" xfId="0" applyNumberFormat="1" applyFont="1"/>
    <xf numFmtId="0" fontId="28" fillId="0" borderId="0" xfId="0" applyFont="1" applyFill="1" applyAlignment="1"/>
    <xf numFmtId="2" fontId="28" fillId="0" borderId="0" xfId="0" applyNumberFormat="1" applyFont="1" applyFill="1" applyAlignment="1"/>
    <xf numFmtId="0" fontId="17" fillId="9" borderId="1" xfId="0" applyFont="1" applyFill="1" applyBorder="1" applyAlignment="1">
      <alignment horizontal="center"/>
    </xf>
    <xf numFmtId="0" fontId="28" fillId="11" borderId="0" xfId="0" applyFont="1" applyFill="1"/>
    <xf numFmtId="0" fontId="17" fillId="0" borderId="0" xfId="0" applyFont="1" applyFill="1" applyAlignment="1"/>
    <xf numFmtId="0" fontId="19" fillId="10" borderId="1" xfId="0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164" fontId="19" fillId="0" borderId="5" xfId="0" applyNumberFormat="1" applyFont="1" applyFill="1" applyBorder="1"/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164" fontId="28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wrapText="1"/>
    </xf>
    <xf numFmtId="0" fontId="28" fillId="0" borderId="0" xfId="0" applyFont="1" applyAlignment="1">
      <alignment vertical="top"/>
    </xf>
    <xf numFmtId="0" fontId="17" fillId="0" borderId="1" xfId="0" applyFont="1" applyBorder="1" applyAlignment="1">
      <alignment vertical="top" wrapText="1"/>
    </xf>
    <xf numFmtId="164" fontId="28" fillId="9" borderId="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top"/>
    </xf>
    <xf numFmtId="0" fontId="28" fillId="0" borderId="0" xfId="0" applyFont="1" applyFill="1" applyAlignment="1">
      <alignment vertical="top"/>
    </xf>
    <xf numFmtId="0" fontId="17" fillId="0" borderId="0" xfId="0" applyFont="1" applyAlignment="1">
      <alignment vertical="top"/>
    </xf>
    <xf numFmtId="0" fontId="17" fillId="0" borderId="1" xfId="0" applyFont="1" applyFill="1" applyBorder="1" applyAlignment="1">
      <alignment vertical="top" wrapText="1"/>
    </xf>
    <xf numFmtId="164" fontId="17" fillId="0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vertical="top" wrapText="1"/>
    </xf>
    <xf numFmtId="0" fontId="17" fillId="9" borderId="1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17" fillId="9" borderId="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/>
    </xf>
    <xf numFmtId="164" fontId="17" fillId="9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left" vertical="justify" wrapText="1"/>
    </xf>
    <xf numFmtId="0" fontId="17" fillId="9" borderId="1" xfId="0" applyFont="1" applyFill="1" applyBorder="1" applyAlignment="1">
      <alignment horizontal="left" vertical="center"/>
    </xf>
    <xf numFmtId="0" fontId="28" fillId="9" borderId="1" xfId="0" applyFont="1" applyFill="1" applyBorder="1" applyAlignment="1">
      <alignment horizontal="center" vertical="center"/>
    </xf>
    <xf numFmtId="164" fontId="28" fillId="9" borderId="1" xfId="0" applyNumberFormat="1" applyFont="1" applyFill="1" applyBorder="1" applyAlignment="1">
      <alignment horizontal="right" vertical="center"/>
    </xf>
    <xf numFmtId="0" fontId="28" fillId="0" borderId="1" xfId="0" applyFont="1" applyBorder="1" applyAlignment="1">
      <alignment vertical="top" wrapText="1"/>
    </xf>
    <xf numFmtId="0" fontId="28" fillId="0" borderId="0" xfId="0" applyFont="1" applyFill="1" applyAlignment="1">
      <alignment horizontal="left" vertical="top" wrapText="1"/>
    </xf>
    <xf numFmtId="0" fontId="28" fillId="0" borderId="0" xfId="0" applyFont="1" applyFill="1" applyAlignment="1">
      <alignment vertical="top" wrapText="1"/>
    </xf>
    <xf numFmtId="0" fontId="28" fillId="0" borderId="0" xfId="0" applyFont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9" fontId="28" fillId="9" borderId="26" xfId="0" applyNumberFormat="1" applyFont="1" applyFill="1" applyBorder="1" applyAlignment="1">
      <alignment horizontal="center" vertical="center"/>
    </xf>
    <xf numFmtId="0" fontId="28" fillId="9" borderId="27" xfId="0" applyFont="1" applyFill="1" applyBorder="1" applyAlignment="1">
      <alignment vertical="center"/>
    </xf>
    <xf numFmtId="0" fontId="28" fillId="9" borderId="18" xfId="0" applyFont="1" applyFill="1" applyBorder="1" applyAlignment="1">
      <alignment vertical="center"/>
    </xf>
    <xf numFmtId="164" fontId="28" fillId="9" borderId="1" xfId="0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 wrapText="1"/>
    </xf>
    <xf numFmtId="0" fontId="20" fillId="2" borderId="1" xfId="0" applyFont="1" applyFill="1" applyBorder="1"/>
    <xf numFmtId="0" fontId="28" fillId="12" borderId="1" xfId="0" applyFont="1" applyFill="1" applyBorder="1"/>
    <xf numFmtId="164" fontId="28" fillId="12" borderId="1" xfId="0" applyNumberFormat="1" applyFont="1" applyFill="1" applyBorder="1"/>
    <xf numFmtId="0" fontId="17" fillId="13" borderId="1" xfId="0" applyFont="1" applyFill="1" applyBorder="1"/>
    <xf numFmtId="0" fontId="17" fillId="0" borderId="0" xfId="0" applyFont="1" applyAlignment="1">
      <alignment vertical="center"/>
    </xf>
    <xf numFmtId="0" fontId="28" fillId="0" borderId="29" xfId="0" applyFont="1" applyBorder="1" applyAlignment="1">
      <alignment horizontal="center" vertical="center"/>
    </xf>
    <xf numFmtId="164" fontId="28" fillId="14" borderId="29" xfId="0" applyNumberFormat="1" applyFont="1" applyFill="1" applyBorder="1" applyAlignment="1">
      <alignment horizontal="center" vertical="center"/>
    </xf>
    <xf numFmtId="164" fontId="28" fillId="0" borderId="29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center" vertical="center"/>
    </xf>
    <xf numFmtId="164" fontId="28" fillId="14" borderId="16" xfId="0" applyNumberFormat="1" applyFont="1" applyFill="1" applyBorder="1" applyAlignment="1">
      <alignment horizontal="center" vertical="center"/>
    </xf>
    <xf numFmtId="0" fontId="17" fillId="0" borderId="31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center" vertical="center"/>
    </xf>
    <xf numFmtId="164" fontId="28" fillId="14" borderId="22" xfId="0" applyNumberFormat="1" applyFont="1" applyFill="1" applyBorder="1" applyAlignment="1">
      <alignment horizontal="center" vertical="center"/>
    </xf>
    <xf numFmtId="0" fontId="28" fillId="0" borderId="21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/>
    </xf>
    <xf numFmtId="164" fontId="28" fillId="14" borderId="0" xfId="0" applyNumberFormat="1" applyFont="1" applyFill="1" applyAlignment="1">
      <alignment horizontal="center" vertical="center"/>
    </xf>
    <xf numFmtId="0" fontId="28" fillId="0" borderId="12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164" fontId="19" fillId="0" borderId="33" xfId="0" applyNumberFormat="1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horizontal="left" vertical="center"/>
    </xf>
    <xf numFmtId="0" fontId="28" fillId="9" borderId="1" xfId="0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left" indent="3"/>
    </xf>
    <xf numFmtId="164" fontId="0" fillId="15" borderId="1" xfId="0" applyNumberFormat="1" applyFill="1" applyBorder="1"/>
    <xf numFmtId="164" fontId="28" fillId="0" borderId="0" xfId="0" applyNumberFormat="1" applyFont="1" applyAlignment="1">
      <alignment vertical="top"/>
    </xf>
    <xf numFmtId="0" fontId="28" fillId="13" borderId="1" xfId="0" applyFont="1" applyFill="1" applyBorder="1"/>
    <xf numFmtId="0" fontId="28" fillId="0" borderId="35" xfId="0" applyFont="1" applyBorder="1" applyAlignment="1">
      <alignment horizontal="center" vertical="center"/>
    </xf>
    <xf numFmtId="2" fontId="0" fillId="0" borderId="0" xfId="0" applyNumberFormat="1"/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wrapText="1"/>
    </xf>
    <xf numFmtId="0" fontId="17" fillId="8" borderId="1" xfId="0" applyFont="1" applyFill="1" applyBorder="1"/>
    <xf numFmtId="0" fontId="17" fillId="8" borderId="1" xfId="0" applyFont="1" applyFill="1" applyBorder="1" applyAlignment="1">
      <alignment horizontal="center"/>
    </xf>
    <xf numFmtId="164" fontId="28" fillId="8" borderId="1" xfId="0" applyNumberFormat="1" applyFont="1" applyFill="1" applyBorder="1" applyAlignment="1">
      <alignment horizontal="center"/>
    </xf>
    <xf numFmtId="164" fontId="17" fillId="8" borderId="1" xfId="0" applyNumberFormat="1" applyFont="1" applyFill="1" applyBorder="1" applyAlignment="1">
      <alignment horizontal="center"/>
    </xf>
    <xf numFmtId="0" fontId="29" fillId="0" borderId="0" xfId="0" applyFont="1"/>
    <xf numFmtId="0" fontId="18" fillId="12" borderId="1" xfId="0" applyFont="1" applyFill="1" applyBorder="1" applyAlignment="1">
      <alignment vertical="top" wrapText="1"/>
    </xf>
    <xf numFmtId="0" fontId="17" fillId="12" borderId="1" xfId="0" applyFont="1" applyFill="1" applyBorder="1" applyAlignment="1">
      <alignment horizontal="center" vertical="center"/>
    </xf>
    <xf numFmtId="164" fontId="17" fillId="12" borderId="1" xfId="0" applyNumberFormat="1" applyFont="1" applyFill="1" applyBorder="1" applyAlignment="1">
      <alignment horizontal="center" vertical="center"/>
    </xf>
    <xf numFmtId="168" fontId="17" fillId="12" borderId="1" xfId="0" applyNumberFormat="1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vertical="top" wrapText="1"/>
    </xf>
    <xf numFmtId="164" fontId="28" fillId="12" borderId="1" xfId="0" applyNumberFormat="1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left" vertical="center" wrapText="1"/>
    </xf>
    <xf numFmtId="0" fontId="18" fillId="12" borderId="1" xfId="0" applyFont="1" applyFill="1" applyBorder="1" applyAlignment="1">
      <alignment horizontal="center" vertical="center"/>
    </xf>
    <xf numFmtId="164" fontId="29" fillId="12" borderId="1" xfId="0" applyNumberFormat="1" applyFont="1" applyFill="1" applyBorder="1" applyAlignment="1">
      <alignment horizontal="center" vertical="center"/>
    </xf>
    <xf numFmtId="164" fontId="18" fillId="12" borderId="1" xfId="0" applyNumberFormat="1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left" vertical="justify" wrapText="1"/>
    </xf>
    <xf numFmtId="0" fontId="18" fillId="12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wrapText="1"/>
    </xf>
    <xf numFmtId="0" fontId="21" fillId="0" borderId="0" xfId="0" applyFont="1"/>
    <xf numFmtId="0" fontId="28" fillId="9" borderId="0" xfId="0" applyFont="1" applyFill="1"/>
    <xf numFmtId="0" fontId="22" fillId="13" borderId="1" xfId="0" applyFont="1" applyFill="1" applyBorder="1"/>
    <xf numFmtId="164" fontId="28" fillId="0" borderId="25" xfId="0" applyNumberFormat="1" applyFont="1" applyBorder="1"/>
    <xf numFmtId="0" fontId="21" fillId="8" borderId="28" xfId="0" applyFont="1" applyFill="1" applyBorder="1"/>
    <xf numFmtId="0" fontId="31" fillId="8" borderId="0" xfId="0" applyFont="1" applyFill="1"/>
    <xf numFmtId="164" fontId="31" fillId="8" borderId="1" xfId="0" applyNumberFormat="1" applyFont="1" applyFill="1" applyBorder="1"/>
    <xf numFmtId="164" fontId="21" fillId="8" borderId="28" xfId="0" applyNumberFormat="1" applyFont="1" applyFill="1" applyBorder="1"/>
    <xf numFmtId="164" fontId="30" fillId="13" borderId="1" xfId="0" applyNumberFormat="1" applyFont="1" applyFill="1" applyBorder="1" applyAlignment="1">
      <alignment horizontal="center"/>
    </xf>
    <xf numFmtId="168" fontId="17" fillId="9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left" wrapText="1"/>
    </xf>
    <xf numFmtId="0" fontId="28" fillId="0" borderId="35" xfId="0" applyFont="1" applyBorder="1" applyAlignment="1">
      <alignment horizontal="center" vertical="center"/>
    </xf>
    <xf numFmtId="0" fontId="17" fillId="16" borderId="1" xfId="0" applyFont="1" applyFill="1" applyBorder="1" applyAlignment="1">
      <alignment horizontal="left" vertical="center"/>
    </xf>
    <xf numFmtId="0" fontId="17" fillId="16" borderId="1" xfId="0" applyFont="1" applyFill="1" applyBorder="1" applyAlignment="1">
      <alignment horizontal="center" vertical="center"/>
    </xf>
    <xf numFmtId="164" fontId="28" fillId="16" borderId="1" xfId="0" applyNumberFormat="1" applyFont="1" applyFill="1" applyBorder="1" applyAlignment="1">
      <alignment horizontal="center" vertical="center"/>
    </xf>
    <xf numFmtId="164" fontId="17" fillId="16" borderId="1" xfId="0" applyNumberFormat="1" applyFont="1" applyFill="1" applyBorder="1" applyAlignment="1">
      <alignment horizontal="center" vertical="center"/>
    </xf>
    <xf numFmtId="0" fontId="17" fillId="16" borderId="1" xfId="0" applyFont="1" applyFill="1" applyBorder="1" applyAlignment="1">
      <alignment vertical="top" wrapText="1"/>
    </xf>
    <xf numFmtId="0" fontId="17" fillId="16" borderId="1" xfId="0" applyFont="1" applyFill="1" applyBorder="1" applyAlignment="1">
      <alignment horizontal="left" vertical="justify" wrapText="1"/>
    </xf>
    <xf numFmtId="0" fontId="17" fillId="16" borderId="1" xfId="0" applyFont="1" applyFill="1" applyBorder="1" applyAlignment="1">
      <alignment horizontal="left" vertical="center" wrapText="1"/>
    </xf>
    <xf numFmtId="0" fontId="17" fillId="16" borderId="1" xfId="0" applyFont="1" applyFill="1" applyBorder="1" applyAlignment="1">
      <alignment horizontal="left" wrapText="1"/>
    </xf>
    <xf numFmtId="164" fontId="33" fillId="16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left"/>
    </xf>
    <xf numFmtId="10" fontId="8" fillId="0" borderId="0" xfId="0" applyNumberFormat="1" applyFont="1" applyFill="1" applyBorder="1" applyAlignment="1">
      <alignment wrapText="1"/>
    </xf>
    <xf numFmtId="164" fontId="5" fillId="0" borderId="16" xfId="0" applyNumberFormat="1" applyFont="1" applyBorder="1"/>
    <xf numFmtId="0" fontId="5" fillId="0" borderId="15" xfId="0" applyFont="1" applyBorder="1" applyAlignment="1">
      <alignment wrapText="1"/>
    </xf>
    <xf numFmtId="164" fontId="34" fillId="0" borderId="1" xfId="0" applyNumberFormat="1" applyFont="1" applyBorder="1" applyAlignment="1">
      <alignment vertical="center"/>
    </xf>
    <xf numFmtId="0" fontId="35" fillId="0" borderId="13" xfId="0" applyFont="1" applyFill="1" applyBorder="1" applyAlignment="1">
      <alignment horizontal="left" vertical="center"/>
    </xf>
    <xf numFmtId="0" fontId="35" fillId="0" borderId="13" xfId="0" applyFont="1" applyBorder="1" applyAlignment="1">
      <alignment vertical="center"/>
    </xf>
    <xf numFmtId="0" fontId="36" fillId="0" borderId="50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10" fontId="3" fillId="0" borderId="16" xfId="3" applyNumberFormat="1" applyFont="1" applyBorder="1" applyAlignment="1">
      <alignment horizontal="center" vertical="center"/>
    </xf>
    <xf numFmtId="10" fontId="3" fillId="0" borderId="0" xfId="3" applyNumberFormat="1" applyFont="1" applyAlignment="1">
      <alignment horizontal="left" indent="3"/>
    </xf>
    <xf numFmtId="10" fontId="3" fillId="0" borderId="0" xfId="3" applyNumberFormat="1" applyFont="1" applyAlignment="1">
      <alignment horizontal="center"/>
    </xf>
    <xf numFmtId="1" fontId="1" fillId="0" borderId="12" xfId="0" applyNumberFormat="1" applyFont="1" applyBorder="1" applyAlignment="1">
      <alignment horizontal="center" vertical="center"/>
    </xf>
    <xf numFmtId="10" fontId="3" fillId="0" borderId="18" xfId="3" applyNumberFormat="1" applyFont="1" applyBorder="1" applyAlignment="1">
      <alignment horizontal="left" vertical="center" indent="3"/>
    </xf>
    <xf numFmtId="10" fontId="3" fillId="0" borderId="19" xfId="3" applyNumberFormat="1" applyFont="1" applyBorder="1" applyAlignment="1">
      <alignment horizontal="left" vertical="center" indent="3"/>
    </xf>
    <xf numFmtId="10" fontId="3" fillId="0" borderId="20" xfId="3" applyNumberFormat="1" applyFont="1" applyBorder="1" applyAlignment="1">
      <alignment horizontal="center" vertical="center"/>
    </xf>
    <xf numFmtId="10" fontId="3" fillId="0" borderId="21" xfId="3" applyNumberFormat="1" applyFont="1" applyBorder="1" applyAlignment="1">
      <alignment horizontal="center" vertical="center"/>
    </xf>
    <xf numFmtId="10" fontId="3" fillId="0" borderId="11" xfId="3" applyNumberFormat="1" applyFont="1" applyBorder="1" applyAlignment="1">
      <alignment horizontal="center" vertical="center"/>
    </xf>
    <xf numFmtId="166" fontId="1" fillId="0" borderId="0" xfId="0" applyNumberFormat="1" applyFont="1"/>
    <xf numFmtId="166" fontId="6" fillId="11" borderId="37" xfId="0" applyNumberFormat="1" applyFont="1" applyFill="1" applyBorder="1" applyAlignment="1">
      <alignment horizontal="center"/>
    </xf>
    <xf numFmtId="166" fontId="5" fillId="11" borderId="38" xfId="0" applyNumberFormat="1" applyFont="1" applyFill="1" applyBorder="1" applyAlignment="1"/>
    <xf numFmtId="166" fontId="0" fillId="11" borderId="0" xfId="0" applyNumberFormat="1" applyFill="1" applyAlignment="1">
      <alignment horizontal="left" indent="1"/>
    </xf>
    <xf numFmtId="2" fontId="0" fillId="11" borderId="0" xfId="0" applyNumberFormat="1" applyFill="1" applyAlignment="1">
      <alignment horizontal="left" indent="3"/>
    </xf>
    <xf numFmtId="166" fontId="1" fillId="11" borderId="0" xfId="0" applyNumberFormat="1" applyFont="1" applyFill="1" applyAlignment="1">
      <alignment horizontal="left" indent="1"/>
    </xf>
    <xf numFmtId="166" fontId="6" fillId="17" borderId="37" xfId="0" applyNumberFormat="1" applyFont="1" applyFill="1" applyBorder="1" applyAlignment="1">
      <alignment horizontal="center"/>
    </xf>
    <xf numFmtId="166" fontId="5" fillId="17" borderId="38" xfId="0" applyNumberFormat="1" applyFont="1" applyFill="1" applyBorder="1" applyAlignment="1"/>
    <xf numFmtId="166" fontId="1" fillId="17" borderId="0" xfId="0" applyNumberFormat="1" applyFont="1" applyFill="1" applyAlignment="1">
      <alignment horizontal="left" indent="1"/>
    </xf>
    <xf numFmtId="166" fontId="0" fillId="17" borderId="0" xfId="0" applyNumberFormat="1" applyFill="1" applyAlignment="1">
      <alignment horizontal="left" indent="3"/>
    </xf>
    <xf numFmtId="0" fontId="1" fillId="17" borderId="0" xfId="0" applyFont="1" applyFill="1" applyAlignment="1">
      <alignment horizontal="left" indent="1"/>
    </xf>
    <xf numFmtId="0" fontId="0" fillId="17" borderId="0" xfId="0" applyFill="1" applyAlignment="1">
      <alignment horizontal="left" indent="3"/>
    </xf>
    <xf numFmtId="0" fontId="1" fillId="17" borderId="49" xfId="0" applyFont="1" applyFill="1" applyBorder="1" applyAlignment="1">
      <alignment horizontal="left" indent="1"/>
    </xf>
    <xf numFmtId="0" fontId="0" fillId="17" borderId="49" xfId="0" applyFill="1" applyBorder="1" applyAlignment="1">
      <alignment horizontal="left" indent="3"/>
    </xf>
    <xf numFmtId="166" fontId="5" fillId="17" borderId="0" xfId="0" applyNumberFormat="1" applyFont="1" applyFill="1" applyAlignment="1">
      <alignment horizontal="right" indent="1"/>
    </xf>
    <xf numFmtId="2" fontId="5" fillId="17" borderId="0" xfId="0" applyNumberFormat="1" applyFont="1" applyFill="1" applyAlignment="1">
      <alignment horizontal="left" indent="3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0" fontId="8" fillId="0" borderId="1" xfId="0" quotePrefix="1" applyFont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4" fontId="8" fillId="0" borderId="0" xfId="0" applyNumberFormat="1" applyFont="1" applyFill="1" applyBorder="1" applyAlignment="1">
      <alignment wrapText="1"/>
    </xf>
    <xf numFmtId="0" fontId="8" fillId="0" borderId="51" xfId="0" applyFont="1" applyBorder="1" applyAlignment="1">
      <alignment wrapText="1"/>
    </xf>
    <xf numFmtId="164" fontId="8" fillId="0" borderId="51" xfId="0" applyNumberFormat="1" applyFont="1" applyFill="1" applyBorder="1" applyAlignment="1">
      <alignment wrapText="1"/>
    </xf>
    <xf numFmtId="0" fontId="8" fillId="0" borderId="51" xfId="0" quotePrefix="1" applyFont="1" applyBorder="1" applyAlignment="1">
      <alignment horizontal="right" wrapText="1"/>
    </xf>
    <xf numFmtId="4" fontId="0" fillId="0" borderId="11" xfId="0" applyNumberFormat="1" applyBorder="1"/>
    <xf numFmtId="4" fontId="0" fillId="0" borderId="0" xfId="0" applyNumberFormat="1" applyBorder="1"/>
    <xf numFmtId="0" fontId="18" fillId="2" borderId="1" xfId="0" applyFont="1" applyFill="1" applyBorder="1" applyAlignment="1">
      <alignment horizontal="left"/>
    </xf>
    <xf numFmtId="0" fontId="17" fillId="12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top" wrapText="1"/>
    </xf>
    <xf numFmtId="9" fontId="28" fillId="9" borderId="1" xfId="0" applyNumberFormat="1" applyFont="1" applyFill="1" applyBorder="1" applyAlignment="1">
      <alignment horizontal="center" vertical="center"/>
    </xf>
    <xf numFmtId="0" fontId="28" fillId="9" borderId="1" xfId="0" applyFont="1" applyFill="1" applyBorder="1" applyAlignment="1">
      <alignment vertical="center"/>
    </xf>
    <xf numFmtId="10" fontId="3" fillId="0" borderId="1" xfId="3" applyNumberFormat="1" applyFont="1" applyFill="1" applyBorder="1" applyAlignment="1">
      <alignment horizontal="center" vertical="center" wrapText="1"/>
    </xf>
    <xf numFmtId="10" fontId="10" fillId="4" borderId="1" xfId="3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/>
    <xf numFmtId="164" fontId="1" fillId="18" borderId="1" xfId="0" applyNumberFormat="1" applyFont="1" applyFill="1" applyBorder="1" applyAlignment="1">
      <alignment horizontal="right" vertical="center" wrapText="1"/>
    </xf>
    <xf numFmtId="0" fontId="31" fillId="8" borderId="1" xfId="0" applyFont="1" applyFill="1" applyBorder="1"/>
    <xf numFmtId="0" fontId="29" fillId="2" borderId="1" xfId="0" applyFont="1" applyFill="1" applyBorder="1"/>
    <xf numFmtId="166" fontId="5" fillId="9" borderId="27" xfId="0" applyNumberFormat="1" applyFont="1" applyFill="1" applyBorder="1" applyAlignment="1">
      <alignment horizontal="right" indent="1"/>
    </xf>
    <xf numFmtId="2" fontId="5" fillId="9" borderId="27" xfId="0" applyNumberFormat="1" applyFont="1" applyFill="1" applyBorder="1" applyAlignment="1">
      <alignment horizontal="left" indent="3"/>
    </xf>
    <xf numFmtId="0" fontId="28" fillId="0" borderId="1" xfId="0" applyFont="1" applyBorder="1"/>
    <xf numFmtId="1" fontId="5" fillId="9" borderId="11" xfId="0" applyNumberFormat="1" applyFont="1" applyFill="1" applyBorder="1" applyAlignment="1">
      <alignment horizontal="center" vertical="center"/>
    </xf>
    <xf numFmtId="1" fontId="5" fillId="9" borderId="23" xfId="0" applyNumberFormat="1" applyFont="1" applyFill="1" applyBorder="1" applyAlignment="1">
      <alignment horizontal="center" vertical="center"/>
    </xf>
    <xf numFmtId="0" fontId="39" fillId="0" borderId="0" xfId="0" applyFont="1"/>
    <xf numFmtId="164" fontId="39" fillId="0" borderId="0" xfId="0" applyNumberFormat="1" applyFont="1"/>
    <xf numFmtId="164" fontId="28" fillId="0" borderId="0" xfId="0" applyNumberFormat="1" applyFont="1" applyAlignment="1">
      <alignment vertical="center"/>
    </xf>
    <xf numFmtId="164" fontId="28" fillId="0" borderId="0" xfId="0" applyNumberFormat="1" applyFont="1" applyAlignment="1"/>
    <xf numFmtId="0" fontId="28" fillId="0" borderId="0" xfId="0" applyFont="1" applyAlignment="1"/>
    <xf numFmtId="0" fontId="40" fillId="0" borderId="2" xfId="0" applyFont="1" applyBorder="1" applyAlignment="1">
      <alignment wrapText="1"/>
    </xf>
    <xf numFmtId="164" fontId="40" fillId="0" borderId="2" xfId="0" applyNumberFormat="1" applyFont="1" applyBorder="1" applyAlignment="1">
      <alignment wrapText="1"/>
    </xf>
    <xf numFmtId="164" fontId="41" fillId="0" borderId="0" xfId="0" applyNumberFormat="1" applyFont="1"/>
    <xf numFmtId="0" fontId="41" fillId="0" borderId="0" xfId="0" applyNumberFormat="1" applyFont="1"/>
    <xf numFmtId="164" fontId="0" fillId="0" borderId="1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26" fillId="0" borderId="16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165" fontId="36" fillId="0" borderId="29" xfId="0" applyNumberFormat="1" applyFont="1" applyFill="1" applyBorder="1" applyAlignment="1">
      <alignment horizontal="center" vertical="center" wrapText="1"/>
    </xf>
    <xf numFmtId="165" fontId="36" fillId="0" borderId="30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wrapText="1"/>
    </xf>
    <xf numFmtId="164" fontId="8" fillId="0" borderId="14" xfId="0" applyNumberFormat="1" applyFont="1" applyBorder="1" applyAlignment="1">
      <alignment horizontal="center" wrapText="1"/>
    </xf>
    <xf numFmtId="0" fontId="28" fillId="0" borderId="36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17" fillId="0" borderId="49" xfId="0" applyFont="1" applyBorder="1" applyAlignment="1">
      <alignment horizontal="left"/>
    </xf>
    <xf numFmtId="16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0" borderId="1" xfId="0" applyBorder="1" applyAlignment="1"/>
    <xf numFmtId="166" fontId="1" fillId="0" borderId="37" xfId="0" applyNumberFormat="1" applyFont="1" applyBorder="1" applyAlignment="1">
      <alignment horizontal="left" vertical="center" wrapText="1" indent="1"/>
    </xf>
    <xf numFmtId="0" fontId="0" fillId="0" borderId="17" xfId="0" applyBorder="1"/>
    <xf numFmtId="0" fontId="0" fillId="0" borderId="38" xfId="0" applyBorder="1"/>
    <xf numFmtId="166" fontId="11" fillId="6" borderId="39" xfId="0" applyNumberFormat="1" applyFont="1" applyFill="1" applyBorder="1" applyAlignment="1">
      <alignment horizontal="left" vertical="center" indent="1"/>
    </xf>
    <xf numFmtId="0" fontId="0" fillId="6" borderId="40" xfId="0" applyFill="1" applyBorder="1" applyAlignment="1">
      <alignment horizontal="left" vertical="center" indent="1"/>
    </xf>
    <xf numFmtId="166" fontId="0" fillId="0" borderId="41" xfId="0" applyNumberFormat="1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166" fontId="0" fillId="0" borderId="46" xfId="0" applyNumberFormat="1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166" fontId="0" fillId="0" borderId="47" xfId="0" applyNumberForma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166" fontId="14" fillId="0" borderId="44" xfId="0" applyNumberFormat="1" applyFont="1" applyBorder="1" applyAlignment="1">
      <alignment horizontal="left" vertical="center" indent="1"/>
    </xf>
    <xf numFmtId="0" fontId="15" fillId="0" borderId="45" xfId="0" applyFont="1" applyBorder="1" applyAlignment="1">
      <alignment horizontal="left" vertical="center" indent="1"/>
    </xf>
    <xf numFmtId="166" fontId="0" fillId="0" borderId="37" xfId="0" applyNumberFormat="1" applyBorder="1" applyAlignment="1">
      <alignment horizontal="left" vertical="center" wrapText="1" indent="1"/>
    </xf>
    <xf numFmtId="0" fontId="21" fillId="0" borderId="49" xfId="0" applyFont="1" applyBorder="1" applyAlignment="1">
      <alignment horizontal="center" vertical="center"/>
    </xf>
    <xf numFmtId="166" fontId="0" fillId="0" borderId="43" xfId="0" applyNumberFormat="1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166" fontId="0" fillId="0" borderId="44" xfId="0" applyNumberFormat="1" applyBorder="1" applyAlignment="1">
      <alignment horizontal="left" vertical="center" indent="1"/>
    </xf>
    <xf numFmtId="0" fontId="0" fillId="0" borderId="45" xfId="0" applyBorder="1" applyAlignment="1">
      <alignment horizontal="left" vertical="center" inden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27" fillId="8" borderId="48" xfId="0" applyFont="1" applyFill="1" applyBorder="1" applyAlignment="1"/>
    <xf numFmtId="0" fontId="0" fillId="0" borderId="0" xfId="0" applyAlignment="1"/>
  </cellXfs>
  <cellStyles count="4">
    <cellStyle name="Comma" xfId="1" builtinId="3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2"/>
  <sheetViews>
    <sheetView tabSelected="1" topLeftCell="A28" workbookViewId="0">
      <selection activeCell="B34" sqref="B34:C34"/>
    </sheetView>
  </sheetViews>
  <sheetFormatPr defaultRowHeight="13.2" x14ac:dyDescent="0.25"/>
  <cols>
    <col min="1" max="1" width="16.33203125" customWidth="1"/>
    <col min="2" max="2" width="13.6640625" customWidth="1"/>
    <col min="3" max="3" width="17.6640625" customWidth="1"/>
    <col min="4" max="4" width="12.5546875" customWidth="1"/>
    <col min="5" max="5" width="10.44140625" customWidth="1"/>
    <col min="6" max="6" width="14.33203125" customWidth="1"/>
    <col min="8" max="8" width="11.33203125" customWidth="1"/>
    <col min="9" max="9" width="11.5546875" customWidth="1"/>
    <col min="10" max="10" width="11.88671875" customWidth="1"/>
    <col min="11" max="11" width="12.6640625" customWidth="1"/>
  </cols>
  <sheetData>
    <row r="2" spans="1:12" ht="18" x14ac:dyDescent="0.35">
      <c r="A2" s="60" t="s">
        <v>238</v>
      </c>
      <c r="C2" s="8"/>
      <c r="E2" s="7"/>
      <c r="F2" s="9"/>
      <c r="I2" s="10"/>
      <c r="J2" s="11"/>
    </row>
    <row r="3" spans="1:12" x14ac:dyDescent="0.25">
      <c r="C3" s="8"/>
      <c r="F3" s="9"/>
      <c r="I3" s="10"/>
      <c r="J3" s="11"/>
    </row>
    <row r="4" spans="1:12" ht="30" x14ac:dyDescent="0.25">
      <c r="A4" s="12" t="s">
        <v>27</v>
      </c>
      <c r="B4" s="12" t="s">
        <v>28</v>
      </c>
      <c r="C4" s="13" t="s">
        <v>29</v>
      </c>
      <c r="D4" s="12" t="s">
        <v>30</v>
      </c>
      <c r="E4" s="12" t="s">
        <v>31</v>
      </c>
      <c r="F4" s="14" t="s">
        <v>32</v>
      </c>
      <c r="G4" s="15" t="s">
        <v>33</v>
      </c>
      <c r="H4" s="16" t="s">
        <v>34</v>
      </c>
      <c r="I4" s="62" t="s">
        <v>35</v>
      </c>
      <c r="J4" s="63"/>
    </row>
    <row r="5" spans="1:12" ht="30" x14ac:dyDescent="0.35">
      <c r="A5" s="17" t="s">
        <v>36</v>
      </c>
      <c r="B5" s="17" t="s">
        <v>37</v>
      </c>
      <c r="C5" s="90">
        <f>I5*J5</f>
        <v>12336.528716590909</v>
      </c>
      <c r="D5" s="17">
        <v>61200</v>
      </c>
      <c r="E5" s="19">
        <v>11300</v>
      </c>
      <c r="F5" s="19" t="s">
        <v>38</v>
      </c>
      <c r="G5" s="19" t="s">
        <v>39</v>
      </c>
      <c r="H5" s="20" t="s">
        <v>40</v>
      </c>
      <c r="I5" s="64">
        <f>'Cost_sharing_formula Act1&amp;3'!$C$21</f>
        <v>0.4007599271734158</v>
      </c>
      <c r="J5" s="65">
        <f>'Costs for 2015'!D58</f>
        <v>30782.839999999997</v>
      </c>
    </row>
    <row r="6" spans="1:12" ht="15" x14ac:dyDescent="0.35">
      <c r="A6" s="17"/>
      <c r="B6" s="17"/>
      <c r="C6" s="18">
        <f>I6*J5</f>
        <v>3495.5120517688533</v>
      </c>
      <c r="D6" s="17">
        <v>61200</v>
      </c>
      <c r="E6" s="17">
        <v>13920</v>
      </c>
      <c r="F6" s="19" t="s">
        <v>38</v>
      </c>
      <c r="G6" s="19" t="s">
        <v>41</v>
      </c>
      <c r="H6" s="21" t="s">
        <v>42</v>
      </c>
      <c r="I6" s="64">
        <f>'Cost_sharing_formula Act1&amp;3'!$D$21</f>
        <v>0.1135539167850937</v>
      </c>
      <c r="J6" s="85"/>
      <c r="L6" s="200"/>
    </row>
    <row r="7" spans="1:12" ht="15" x14ac:dyDescent="0.35">
      <c r="A7" s="17"/>
      <c r="B7" s="17"/>
      <c r="C7" s="18">
        <f>I7*J5</f>
        <v>6808.8540951368695</v>
      </c>
      <c r="D7" s="17">
        <v>61200</v>
      </c>
      <c r="E7" s="17">
        <v>13920</v>
      </c>
      <c r="F7" s="19" t="s">
        <v>38</v>
      </c>
      <c r="G7" s="19" t="s">
        <v>43</v>
      </c>
      <c r="H7" s="21" t="s">
        <v>44</v>
      </c>
      <c r="I7" s="64">
        <f>'Cost_sharing_formula Act1&amp;3'!$E$21</f>
        <v>0.22118992578777236</v>
      </c>
      <c r="J7" s="85"/>
      <c r="L7" s="11"/>
    </row>
    <row r="8" spans="1:12" ht="15" x14ac:dyDescent="0.35">
      <c r="A8" s="17"/>
      <c r="B8" s="17"/>
      <c r="C8" s="18">
        <f>I8*J5</f>
        <v>3494.5161769678816</v>
      </c>
      <c r="D8" s="17">
        <v>61200</v>
      </c>
      <c r="E8" s="17">
        <v>13920</v>
      </c>
      <c r="F8" s="19" t="s">
        <v>38</v>
      </c>
      <c r="G8" s="19">
        <v>10778</v>
      </c>
      <c r="H8" s="21" t="s">
        <v>45</v>
      </c>
      <c r="I8" s="64">
        <f>'Cost_sharing_formula Act1&amp;3'!$F$21</f>
        <v>0.11352156516318448</v>
      </c>
      <c r="J8" s="85"/>
      <c r="L8" s="11"/>
    </row>
    <row r="9" spans="1:12" ht="15" x14ac:dyDescent="0.35">
      <c r="A9" s="17"/>
      <c r="B9" s="17"/>
      <c r="C9" s="18">
        <f>I9*J5</f>
        <v>1850.7688619826886</v>
      </c>
      <c r="D9" s="17">
        <v>61200</v>
      </c>
      <c r="E9" s="17">
        <v>13920</v>
      </c>
      <c r="F9" s="19" t="s">
        <v>38</v>
      </c>
      <c r="G9" s="19" t="s">
        <v>46</v>
      </c>
      <c r="H9" s="21" t="s">
        <v>47</v>
      </c>
      <c r="I9" s="64">
        <f>'Cost_sharing_formula Act1&amp;3'!$G$21</f>
        <v>6.0123395436635758E-2</v>
      </c>
      <c r="J9" s="85"/>
      <c r="L9" s="11"/>
    </row>
    <row r="10" spans="1:12" ht="15" x14ac:dyDescent="0.35">
      <c r="A10" s="17"/>
      <c r="B10" s="17"/>
      <c r="C10" s="18">
        <f>I10*J5</f>
        <v>1109.3946120329533</v>
      </c>
      <c r="D10" s="17">
        <v>61200</v>
      </c>
      <c r="E10" s="17">
        <v>13920</v>
      </c>
      <c r="F10" s="19" t="s">
        <v>38</v>
      </c>
      <c r="G10" s="19" t="s">
        <v>48</v>
      </c>
      <c r="H10" s="21" t="s">
        <v>49</v>
      </c>
      <c r="I10" s="64">
        <f>'Cost_sharing_formula Act1&amp;3'!$H$21</f>
        <v>3.6039384671230898E-2</v>
      </c>
      <c r="J10" s="85"/>
      <c r="L10" s="11"/>
    </row>
    <row r="11" spans="1:12" ht="15" x14ac:dyDescent="0.35">
      <c r="A11" s="17"/>
      <c r="B11" s="17"/>
      <c r="C11" s="18">
        <f>I11*J5</f>
        <v>850.4034164601278</v>
      </c>
      <c r="D11" s="17">
        <v>61200</v>
      </c>
      <c r="E11" s="17">
        <v>13920</v>
      </c>
      <c r="F11" s="19" t="s">
        <v>38</v>
      </c>
      <c r="G11" s="19">
        <v>10153</v>
      </c>
      <c r="H11" s="21" t="s">
        <v>50</v>
      </c>
      <c r="I11" s="64">
        <f>'Cost_sharing_formula Act1&amp;3'!$I$21</f>
        <v>2.7625892102877053E-2</v>
      </c>
      <c r="J11" s="85"/>
      <c r="L11" s="11"/>
    </row>
    <row r="12" spans="1:12" ht="15" x14ac:dyDescent="0.35">
      <c r="A12" s="17"/>
      <c r="B12" s="17"/>
      <c r="C12" s="18">
        <f>I12*J5</f>
        <v>836.86206905971392</v>
      </c>
      <c r="D12" s="17">
        <v>61200</v>
      </c>
      <c r="E12" s="17">
        <v>13920</v>
      </c>
      <c r="F12" s="19" t="s">
        <v>38</v>
      </c>
      <c r="G12" s="19" t="s">
        <v>51</v>
      </c>
      <c r="H12" s="21" t="s">
        <v>52</v>
      </c>
      <c r="I12" s="64">
        <f>'Cost_sharing_formula Act1&amp;3'!$J$21</f>
        <v>2.7185992879789976E-2</v>
      </c>
      <c r="J12" s="85"/>
      <c r="L12" s="11"/>
    </row>
    <row r="13" spans="1:12" ht="15" x14ac:dyDescent="0.35">
      <c r="A13" s="17"/>
      <c r="B13" s="17"/>
      <c r="C13" s="18"/>
      <c r="D13" s="17"/>
      <c r="E13" s="17"/>
      <c r="F13" s="22"/>
      <c r="G13" s="19"/>
      <c r="H13" s="23"/>
      <c r="I13" s="64">
        <f>SUM(I5:I12)</f>
        <v>1</v>
      </c>
      <c r="J13" s="85"/>
      <c r="L13" s="11"/>
    </row>
    <row r="14" spans="1:12" ht="15" x14ac:dyDescent="0.35">
      <c r="A14" s="79"/>
      <c r="B14" s="79"/>
      <c r="C14" s="80"/>
      <c r="D14" s="79"/>
      <c r="E14" s="79"/>
      <c r="F14" s="81"/>
      <c r="G14" s="82"/>
      <c r="H14" s="83"/>
      <c r="I14" s="84"/>
      <c r="J14" s="85"/>
      <c r="L14" s="11"/>
    </row>
    <row r="15" spans="1:12" ht="30" x14ac:dyDescent="0.35">
      <c r="A15" s="17" t="s">
        <v>36</v>
      </c>
      <c r="B15" s="17" t="s">
        <v>37</v>
      </c>
      <c r="C15" s="18">
        <f>I15*J15</f>
        <v>21774.16651137183</v>
      </c>
      <c r="D15" s="17">
        <v>71400</v>
      </c>
      <c r="E15" s="19">
        <v>11300</v>
      </c>
      <c r="F15" s="19" t="s">
        <v>38</v>
      </c>
      <c r="G15" s="19" t="s">
        <v>39</v>
      </c>
      <c r="H15" s="20" t="s">
        <v>40</v>
      </c>
      <c r="I15" s="64">
        <f>'Cost_sharing_formula Act1&amp;3'!$C$21</f>
        <v>0.4007599271734158</v>
      </c>
      <c r="J15" s="65">
        <f>'Costs for 2015'!D57</f>
        <v>54332.195000000007</v>
      </c>
      <c r="L15" s="11"/>
    </row>
    <row r="16" spans="1:12" ht="15" x14ac:dyDescent="0.35">
      <c r="A16" s="17"/>
      <c r="B16" s="17"/>
      <c r="C16" s="18">
        <f>J15*I16</f>
        <v>6169.6335497814853</v>
      </c>
      <c r="D16" s="17">
        <v>71400</v>
      </c>
      <c r="E16" s="17">
        <v>13920</v>
      </c>
      <c r="F16" s="19" t="s">
        <v>38</v>
      </c>
      <c r="G16" s="19" t="s">
        <v>41</v>
      </c>
      <c r="H16" s="21" t="s">
        <v>42</v>
      </c>
      <c r="I16" s="64">
        <f>'Cost_sharing_formula Act1&amp;3'!$D$21</f>
        <v>0.1135539167850937</v>
      </c>
      <c r="J16" s="85"/>
      <c r="L16" s="11"/>
    </row>
    <row r="17" spans="1:13" ht="15" x14ac:dyDescent="0.35">
      <c r="A17" s="17"/>
      <c r="B17" s="17"/>
      <c r="C17" s="18">
        <f>J15*I17</f>
        <v>12017.734179936779</v>
      </c>
      <c r="D17" s="17">
        <v>71400</v>
      </c>
      <c r="E17" s="17">
        <v>13920</v>
      </c>
      <c r="F17" s="19" t="s">
        <v>38</v>
      </c>
      <c r="G17" s="19" t="s">
        <v>43</v>
      </c>
      <c r="H17" s="21" t="s">
        <v>44</v>
      </c>
      <c r="I17" s="64">
        <f>'Cost_sharing_formula Act1&amp;3'!$E$21</f>
        <v>0.22118992578777236</v>
      </c>
      <c r="J17" s="63"/>
      <c r="L17" s="11"/>
      <c r="M17" s="11"/>
    </row>
    <row r="18" spans="1:13" ht="15" x14ac:dyDescent="0.35">
      <c r="A18" s="17"/>
      <c r="B18" s="17"/>
      <c r="C18" s="18">
        <f>J15*I18</f>
        <v>6167.8758151513466</v>
      </c>
      <c r="D18" s="17">
        <v>71400</v>
      </c>
      <c r="E18" s="17">
        <v>13920</v>
      </c>
      <c r="F18" s="19" t="s">
        <v>38</v>
      </c>
      <c r="G18" s="19">
        <v>10778</v>
      </c>
      <c r="H18" s="21" t="s">
        <v>45</v>
      </c>
      <c r="I18" s="64">
        <f>'Cost_sharing_formula Act1&amp;3'!$F$21</f>
        <v>0.11352156516318448</v>
      </c>
      <c r="J18" s="63"/>
      <c r="L18" s="11"/>
    </row>
    <row r="19" spans="1:13" ht="15" x14ac:dyDescent="0.35">
      <c r="A19" s="17"/>
      <c r="B19" s="17"/>
      <c r="C19" s="18">
        <f>J15*I19</f>
        <v>3266.6360449254048</v>
      </c>
      <c r="D19" s="17">
        <v>71400</v>
      </c>
      <c r="E19" s="17">
        <v>13920</v>
      </c>
      <c r="F19" s="19" t="s">
        <v>38</v>
      </c>
      <c r="G19" s="19" t="s">
        <v>46</v>
      </c>
      <c r="H19" s="21" t="s">
        <v>47</v>
      </c>
      <c r="I19" s="64">
        <f>'Cost_sharing_formula Act1&amp;3'!$G$21</f>
        <v>6.0123395436635758E-2</v>
      </c>
      <c r="J19" s="63"/>
      <c r="L19" s="11"/>
    </row>
    <row r="20" spans="1:13" ht="15" x14ac:dyDescent="0.35">
      <c r="A20" s="17"/>
      <c r="B20" s="17"/>
      <c r="C20" s="18">
        <f>J15*I20</f>
        <v>1958.0988756373283</v>
      </c>
      <c r="D20" s="17">
        <v>71400</v>
      </c>
      <c r="E20" s="17">
        <v>13920</v>
      </c>
      <c r="F20" s="19" t="s">
        <v>38</v>
      </c>
      <c r="G20" s="19" t="s">
        <v>48</v>
      </c>
      <c r="H20" s="21" t="s">
        <v>49</v>
      </c>
      <c r="I20" s="64">
        <f>'Cost_sharing_formula Act1&amp;3'!$H$21</f>
        <v>3.6039384671230898E-2</v>
      </c>
      <c r="J20" s="63"/>
      <c r="L20" s="11"/>
      <c r="M20" s="11"/>
    </row>
    <row r="21" spans="1:13" ht="15" x14ac:dyDescent="0.35">
      <c r="A21" s="17"/>
      <c r="B21" s="17"/>
      <c r="C21" s="18">
        <f>J15*I21</f>
        <v>1500.9753567824764</v>
      </c>
      <c r="D21" s="17">
        <v>71400</v>
      </c>
      <c r="E21" s="17">
        <v>13920</v>
      </c>
      <c r="F21" s="19" t="s">
        <v>38</v>
      </c>
      <c r="G21" s="19">
        <v>10153</v>
      </c>
      <c r="H21" s="21" t="s">
        <v>50</v>
      </c>
      <c r="I21" s="64">
        <f>'Cost_sharing_formula Act1&amp;3'!$I$21</f>
        <v>2.7625892102877053E-2</v>
      </c>
      <c r="J21" s="63"/>
      <c r="L21" s="11"/>
    </row>
    <row r="22" spans="1:13" ht="15" x14ac:dyDescent="0.35">
      <c r="A22" s="17"/>
      <c r="B22" s="17"/>
      <c r="C22" s="18">
        <f>J15*I22</f>
        <v>1477.0746664133608</v>
      </c>
      <c r="D22" s="17">
        <v>71400</v>
      </c>
      <c r="E22" s="17">
        <v>13920</v>
      </c>
      <c r="F22" s="19" t="s">
        <v>38</v>
      </c>
      <c r="G22" s="19" t="s">
        <v>51</v>
      </c>
      <c r="H22" s="21" t="s">
        <v>52</v>
      </c>
      <c r="I22" s="64">
        <f>'Cost_sharing_formula Act1&amp;3'!$J$21</f>
        <v>2.7185992879789976E-2</v>
      </c>
      <c r="J22" s="63"/>
      <c r="L22" s="11"/>
    </row>
    <row r="23" spans="1:13" ht="15" x14ac:dyDescent="0.35">
      <c r="A23" s="17"/>
      <c r="B23" s="17"/>
      <c r="C23" s="18"/>
      <c r="D23" s="17"/>
      <c r="E23" s="17"/>
      <c r="F23" s="22"/>
      <c r="G23" s="19"/>
      <c r="H23" s="23"/>
      <c r="I23" s="64">
        <f>SUM(I15:I22)</f>
        <v>1</v>
      </c>
      <c r="J23" s="63"/>
      <c r="L23" s="11"/>
    </row>
    <row r="24" spans="1:13" ht="15" x14ac:dyDescent="0.35">
      <c r="A24" s="17"/>
      <c r="B24" s="17"/>
      <c r="C24" s="18"/>
      <c r="D24" s="17"/>
      <c r="E24" s="17"/>
      <c r="F24" s="22"/>
      <c r="G24" s="19"/>
      <c r="H24" s="21"/>
      <c r="I24" s="66"/>
      <c r="J24" s="63"/>
      <c r="L24" s="11"/>
    </row>
    <row r="25" spans="1:13" ht="15" x14ac:dyDescent="0.35">
      <c r="A25" s="17"/>
      <c r="B25" s="17"/>
      <c r="C25" s="18"/>
      <c r="D25" s="17"/>
      <c r="E25" s="17"/>
      <c r="F25" s="22"/>
      <c r="G25" s="19"/>
      <c r="H25" s="21"/>
      <c r="I25" s="66"/>
      <c r="J25" s="63"/>
      <c r="L25" s="11"/>
    </row>
    <row r="26" spans="1:13" ht="30" x14ac:dyDescent="0.35">
      <c r="A26" s="17" t="s">
        <v>53</v>
      </c>
      <c r="B26" s="17" t="s">
        <v>54</v>
      </c>
      <c r="C26" s="18">
        <f>I26*J26</f>
        <v>17795.881826410587</v>
      </c>
      <c r="D26" s="17">
        <v>73100</v>
      </c>
      <c r="E26" s="19">
        <v>11300</v>
      </c>
      <c r="F26" s="19" t="s">
        <v>38</v>
      </c>
      <c r="G26" s="19" t="s">
        <v>39</v>
      </c>
      <c r="H26" s="20" t="s">
        <v>40</v>
      </c>
      <c r="I26" s="64">
        <f>'Cost_sharing_formula Act1&amp;3'!$C$21</f>
        <v>0.4007599271734158</v>
      </c>
      <c r="J26" s="65">
        <f>'Costs for 2015'!D59</f>
        <v>44405.342499999999</v>
      </c>
      <c r="L26" s="11"/>
    </row>
    <row r="27" spans="1:13" ht="15" x14ac:dyDescent="0.35">
      <c r="A27" s="17"/>
      <c r="B27" s="17"/>
      <c r="C27" s="18">
        <f>I27*J26</f>
        <v>5042.4005670585848</v>
      </c>
      <c r="D27" s="17">
        <v>73100</v>
      </c>
      <c r="E27" s="17">
        <v>13920</v>
      </c>
      <c r="F27" s="19" t="s">
        <v>38</v>
      </c>
      <c r="G27" s="19" t="s">
        <v>41</v>
      </c>
      <c r="H27" s="21" t="s">
        <v>42</v>
      </c>
      <c r="I27" s="64">
        <f>'Cost_sharing_formula Act1&amp;3'!$D$21</f>
        <v>0.1135539167850937</v>
      </c>
      <c r="J27" s="63"/>
      <c r="L27" s="11"/>
    </row>
    <row r="28" spans="1:13" ht="15" x14ac:dyDescent="0.35">
      <c r="A28" s="17"/>
      <c r="B28" s="17"/>
      <c r="C28" s="90">
        <f>I28*J26</f>
        <v>9822.0144121556132</v>
      </c>
      <c r="D28" s="17">
        <v>73100</v>
      </c>
      <c r="E28" s="17">
        <v>13920</v>
      </c>
      <c r="F28" s="19" t="s">
        <v>38</v>
      </c>
      <c r="G28" s="19" t="s">
        <v>43</v>
      </c>
      <c r="H28" s="21" t="s">
        <v>44</v>
      </c>
      <c r="I28" s="64">
        <f>'Cost_sharing_formula Act1&amp;3'!$E$21</f>
        <v>0.22118992578777236</v>
      </c>
      <c r="J28" s="88"/>
      <c r="L28" s="11"/>
    </row>
    <row r="29" spans="1:13" ht="15" x14ac:dyDescent="0.35">
      <c r="A29" s="17"/>
      <c r="B29" s="17"/>
      <c r="C29" s="90">
        <f>I29*J26</f>
        <v>5040.963982207275</v>
      </c>
      <c r="D29" s="17">
        <v>73100</v>
      </c>
      <c r="E29" s="17">
        <v>13920</v>
      </c>
      <c r="F29" s="19" t="s">
        <v>38</v>
      </c>
      <c r="G29" s="19">
        <v>10778</v>
      </c>
      <c r="H29" s="21" t="s">
        <v>45</v>
      </c>
      <c r="I29" s="64">
        <f>'Cost_sharing_formula Act1&amp;3'!$F$21</f>
        <v>0.11352156516318448</v>
      </c>
      <c r="J29" s="89"/>
      <c r="L29" s="11"/>
    </row>
    <row r="30" spans="1:13" ht="15" x14ac:dyDescent="0.35">
      <c r="A30" s="17"/>
      <c r="B30" s="17"/>
      <c r="C30" s="18">
        <f>I30*J26</f>
        <v>2669.7999666267478</v>
      </c>
      <c r="D30" s="17">
        <v>73100</v>
      </c>
      <c r="E30" s="17">
        <v>13920</v>
      </c>
      <c r="F30" s="19" t="s">
        <v>38</v>
      </c>
      <c r="G30" s="19" t="s">
        <v>46</v>
      </c>
      <c r="H30" s="21" t="s">
        <v>47</v>
      </c>
      <c r="I30" s="64">
        <f>'Cost_sharing_formula Act1&amp;3'!$G$21</f>
        <v>6.0123395436635758E-2</v>
      </c>
      <c r="J30" s="63"/>
      <c r="L30" s="11"/>
    </row>
    <row r="31" spans="1:13" ht="15" x14ac:dyDescent="0.35">
      <c r="A31" s="17"/>
      <c r="B31" s="17"/>
      <c r="C31" s="18">
        <f>I31*J26</f>
        <v>1600.3412198152578</v>
      </c>
      <c r="D31" s="17">
        <v>73100</v>
      </c>
      <c r="E31" s="17">
        <v>13920</v>
      </c>
      <c r="F31" s="19" t="s">
        <v>38</v>
      </c>
      <c r="G31" s="19" t="s">
        <v>48</v>
      </c>
      <c r="H31" s="21" t="s">
        <v>49</v>
      </c>
      <c r="I31" s="64">
        <f>'Cost_sharing_formula Act1&amp;3'!$H$21</f>
        <v>3.6039384671230898E-2</v>
      </c>
      <c r="J31" s="63"/>
      <c r="L31" s="11"/>
    </row>
    <row r="32" spans="1:13" ht="15" x14ac:dyDescent="0.35">
      <c r="A32" s="17"/>
      <c r="B32" s="17"/>
      <c r="C32" s="18">
        <f>I32*J26</f>
        <v>1226.7372006963008</v>
      </c>
      <c r="D32" s="17">
        <v>73100</v>
      </c>
      <c r="E32" s="17">
        <v>13920</v>
      </c>
      <c r="F32" s="19" t="s">
        <v>38</v>
      </c>
      <c r="G32" s="19">
        <v>10153</v>
      </c>
      <c r="H32" s="21" t="s">
        <v>50</v>
      </c>
      <c r="I32" s="64">
        <f>'Cost_sharing_formula Act1&amp;3'!$I$21</f>
        <v>2.7625892102877053E-2</v>
      </c>
      <c r="J32" s="63"/>
      <c r="L32" s="11"/>
    </row>
    <row r="33" spans="1:12" ht="15" x14ac:dyDescent="0.35">
      <c r="A33" s="17"/>
      <c r="B33" s="17"/>
      <c r="C33" s="18">
        <f>I33*J26</f>
        <v>1207.2033250296352</v>
      </c>
      <c r="D33" s="17">
        <v>73100</v>
      </c>
      <c r="E33" s="17">
        <v>13920</v>
      </c>
      <c r="F33" s="19" t="s">
        <v>38</v>
      </c>
      <c r="G33" s="19" t="s">
        <v>51</v>
      </c>
      <c r="H33" s="21" t="s">
        <v>52</v>
      </c>
      <c r="I33" s="64">
        <f>'Cost_sharing_formula Act1&amp;3'!$J$21</f>
        <v>2.7185992879789976E-2</v>
      </c>
      <c r="J33" s="63"/>
      <c r="L33" s="11"/>
    </row>
    <row r="34" spans="1:12" ht="15" x14ac:dyDescent="0.35">
      <c r="A34" s="17"/>
      <c r="B34" s="17"/>
      <c r="C34" s="18"/>
      <c r="D34" s="17"/>
      <c r="E34" s="17"/>
      <c r="F34" s="22"/>
      <c r="G34" s="19"/>
      <c r="H34" s="23"/>
      <c r="I34" s="64">
        <f>SUM(I26:I33)</f>
        <v>1</v>
      </c>
      <c r="J34" s="63"/>
      <c r="L34" s="11"/>
    </row>
    <row r="35" spans="1:12" ht="15" x14ac:dyDescent="0.35">
      <c r="A35" s="17"/>
      <c r="B35" s="17"/>
      <c r="C35" s="18"/>
      <c r="D35" s="17"/>
      <c r="E35" s="17"/>
      <c r="F35" s="22"/>
      <c r="G35" s="19"/>
      <c r="H35" s="21"/>
      <c r="I35" s="66"/>
      <c r="J35" s="63"/>
      <c r="L35" s="11"/>
    </row>
    <row r="36" spans="1:12" ht="15" x14ac:dyDescent="0.35">
      <c r="A36" s="17"/>
      <c r="B36" s="17"/>
      <c r="C36" s="18"/>
      <c r="D36" s="17"/>
      <c r="E36" s="17"/>
      <c r="F36" s="22"/>
      <c r="G36" s="19"/>
      <c r="H36" s="21"/>
      <c r="I36" s="66"/>
      <c r="J36" s="63"/>
      <c r="L36" s="11"/>
    </row>
    <row r="37" spans="1:12" ht="15" x14ac:dyDescent="0.35">
      <c r="A37" s="17" t="s">
        <v>55</v>
      </c>
      <c r="B37" s="17" t="s">
        <v>56</v>
      </c>
      <c r="C37" s="18">
        <f>I37*J37</f>
        <v>30594.41129929505</v>
      </c>
      <c r="D37" s="17">
        <v>71400</v>
      </c>
      <c r="E37" s="19">
        <v>11300</v>
      </c>
      <c r="F37" s="19" t="s">
        <v>38</v>
      </c>
      <c r="G37" s="19" t="s">
        <v>39</v>
      </c>
      <c r="H37" s="20" t="s">
        <v>40</v>
      </c>
      <c r="I37" s="64">
        <f>'cost-sharing formula Act4'!C21</f>
        <v>0.41208590327001482</v>
      </c>
      <c r="J37" s="65">
        <f>'Costs for 2015'!D60</f>
        <v>74242.799999999988</v>
      </c>
      <c r="L37" s="11"/>
    </row>
    <row r="38" spans="1:12" ht="15" x14ac:dyDescent="0.35">
      <c r="A38" s="17"/>
      <c r="B38" s="17"/>
      <c r="C38" s="90">
        <f>I38*J37+J38</f>
        <v>11199.210087070023</v>
      </c>
      <c r="D38" s="17">
        <v>71400</v>
      </c>
      <c r="E38" s="17">
        <v>13925</v>
      </c>
      <c r="F38" s="19" t="s">
        <v>38</v>
      </c>
      <c r="G38" s="19" t="s">
        <v>41</v>
      </c>
      <c r="H38" s="21" t="s">
        <v>42</v>
      </c>
      <c r="I38" s="64">
        <f>'cost-sharing formula Act4'!D21</f>
        <v>0.11587588408667271</v>
      </c>
      <c r="J38" s="63">
        <f>'Costs for 2015'!D61</f>
        <v>2596.2600000000002</v>
      </c>
      <c r="L38" s="11"/>
    </row>
    <row r="39" spans="1:12" ht="15" x14ac:dyDescent="0.35">
      <c r="A39" s="17"/>
      <c r="B39" s="17"/>
      <c r="C39" s="18">
        <f>I39*J37</f>
        <v>16898.117481402554</v>
      </c>
      <c r="D39" s="17">
        <v>71400</v>
      </c>
      <c r="E39" s="17">
        <v>13925</v>
      </c>
      <c r="F39" s="19" t="s">
        <v>38</v>
      </c>
      <c r="G39" s="19" t="s">
        <v>43</v>
      </c>
      <c r="H39" s="21" t="s">
        <v>44</v>
      </c>
      <c r="I39" s="64">
        <f>'cost-sharing formula Act4'!E21</f>
        <v>0.22760614472248564</v>
      </c>
      <c r="J39" s="63"/>
      <c r="L39" s="11"/>
    </row>
    <row r="40" spans="1:12" ht="15" x14ac:dyDescent="0.35">
      <c r="A40" s="17"/>
      <c r="B40" s="17"/>
      <c r="C40" s="18">
        <f>I40*J37</f>
        <v>8669.3613489994696</v>
      </c>
      <c r="D40" s="17">
        <v>71400</v>
      </c>
      <c r="E40" s="17">
        <v>13925</v>
      </c>
      <c r="F40" s="19" t="s">
        <v>38</v>
      </c>
      <c r="G40" s="19">
        <v>10778</v>
      </c>
      <c r="H40" s="21" t="s">
        <v>45</v>
      </c>
      <c r="I40" s="64">
        <f>'cost-sharing formula Act4'!F21</f>
        <v>0.11677039859756733</v>
      </c>
      <c r="J40" s="63"/>
      <c r="L40" s="11"/>
    </row>
    <row r="41" spans="1:12" ht="15" x14ac:dyDescent="0.35">
      <c r="A41" s="17"/>
      <c r="B41" s="17"/>
      <c r="C41" s="18">
        <f>I41*J37</f>
        <v>4608.4583381188213</v>
      </c>
      <c r="D41" s="17">
        <v>71400</v>
      </c>
      <c r="E41" s="17">
        <v>13925</v>
      </c>
      <c r="F41" s="19" t="s">
        <v>38</v>
      </c>
      <c r="G41" s="19" t="s">
        <v>46</v>
      </c>
      <c r="H41" s="21" t="s">
        <v>47</v>
      </c>
      <c r="I41" s="64">
        <f>'cost-sharing formula Act4'!G21</f>
        <v>6.2072798144989436E-2</v>
      </c>
      <c r="J41" s="63"/>
      <c r="L41" s="11"/>
    </row>
    <row r="42" spans="1:12" ht="15" x14ac:dyDescent="0.35">
      <c r="A42" s="17"/>
      <c r="B42" s="17"/>
      <c r="C42" s="18">
        <f>I42*J37</f>
        <v>2781.7435346433149</v>
      </c>
      <c r="D42" s="17">
        <v>71400</v>
      </c>
      <c r="E42" s="17">
        <v>13925</v>
      </c>
      <c r="F42" s="19" t="s">
        <v>38</v>
      </c>
      <c r="G42" s="19" t="s">
        <v>48</v>
      </c>
      <c r="H42" s="21" t="s">
        <v>49</v>
      </c>
      <c r="I42" s="64">
        <f>'cost-sharing formula Act4'!H21</f>
        <v>3.7468192668424619E-2</v>
      </c>
      <c r="J42" s="63"/>
      <c r="L42" s="11"/>
    </row>
    <row r="43" spans="1:12" ht="15" hidden="1" x14ac:dyDescent="0.35">
      <c r="A43" s="17"/>
      <c r="B43" s="17"/>
      <c r="C43" s="18">
        <f>I43*J37</f>
        <v>0</v>
      </c>
      <c r="D43" s="17">
        <v>71400</v>
      </c>
      <c r="E43" s="17">
        <v>13925</v>
      </c>
      <c r="F43" s="19" t="s">
        <v>38</v>
      </c>
      <c r="G43" s="19">
        <v>10153</v>
      </c>
      <c r="H43" s="21" t="s">
        <v>50</v>
      </c>
      <c r="I43" s="64">
        <f>'cost-sharing formula Act4'!I21</f>
        <v>0</v>
      </c>
      <c r="J43" s="63"/>
      <c r="L43" s="11"/>
    </row>
    <row r="44" spans="1:12" ht="15" x14ac:dyDescent="0.35">
      <c r="A44" s="17"/>
      <c r="B44" s="17"/>
      <c r="C44" s="18">
        <f>I44*J37</f>
        <v>2087.757910470752</v>
      </c>
      <c r="D44" s="17">
        <v>71400</v>
      </c>
      <c r="E44" s="17">
        <v>13925</v>
      </c>
      <c r="F44" s="19" t="s">
        <v>38</v>
      </c>
      <c r="G44" s="19" t="s">
        <v>51</v>
      </c>
      <c r="H44" s="21" t="s">
        <v>52</v>
      </c>
      <c r="I44" s="64">
        <f>'cost-sharing formula Act4'!J21</f>
        <v>2.8120678509845429E-2</v>
      </c>
      <c r="J44" s="63"/>
      <c r="L44" s="11"/>
    </row>
    <row r="45" spans="1:12" ht="15" x14ac:dyDescent="0.35">
      <c r="A45" s="17"/>
      <c r="B45" s="310"/>
      <c r="C45" s="311"/>
      <c r="D45" s="17"/>
      <c r="E45" s="17"/>
      <c r="F45" s="22"/>
      <c r="G45" s="19"/>
      <c r="H45" s="23"/>
      <c r="I45" s="64">
        <f>SUM(I37:I44)</f>
        <v>1</v>
      </c>
      <c r="J45" s="63"/>
    </row>
    <row r="46" spans="1:12" ht="15" x14ac:dyDescent="0.35">
      <c r="A46" s="17"/>
      <c r="B46" s="17"/>
      <c r="C46" s="18"/>
      <c r="D46" s="17"/>
      <c r="E46" s="17"/>
      <c r="F46" s="22"/>
      <c r="G46" s="19"/>
      <c r="H46" s="25"/>
      <c r="I46" s="24"/>
      <c r="J46" s="11"/>
    </row>
    <row r="47" spans="1:12" ht="30" x14ac:dyDescent="0.35">
      <c r="A47" s="276" t="s">
        <v>214</v>
      </c>
      <c r="B47" s="277" t="s">
        <v>215</v>
      </c>
      <c r="C47" s="278">
        <f>I47*J47</f>
        <v>0</v>
      </c>
      <c r="D47" s="277">
        <v>73120</v>
      </c>
      <c r="E47" s="279">
        <v>11300</v>
      </c>
      <c r="F47" s="279" t="s">
        <v>38</v>
      </c>
      <c r="G47" s="279" t="s">
        <v>39</v>
      </c>
      <c r="H47" s="280" t="s">
        <v>40</v>
      </c>
      <c r="I47" s="64">
        <v>0</v>
      </c>
      <c r="J47" s="65"/>
      <c r="K47" s="281"/>
    </row>
    <row r="48" spans="1:12" ht="15" customHeight="1" x14ac:dyDescent="0.35">
      <c r="A48" s="282"/>
      <c r="B48" s="282"/>
      <c r="C48" s="283">
        <f>I48*J47</f>
        <v>0</v>
      </c>
      <c r="D48" s="282">
        <v>73120</v>
      </c>
      <c r="E48" s="282">
        <v>13920</v>
      </c>
      <c r="F48" s="284" t="s">
        <v>38</v>
      </c>
      <c r="G48" s="284" t="s">
        <v>41</v>
      </c>
      <c r="H48" s="21" t="s">
        <v>42</v>
      </c>
      <c r="I48" s="64">
        <v>0</v>
      </c>
      <c r="J48" s="285"/>
      <c r="K48" s="286"/>
    </row>
    <row r="49" spans="1:11" ht="15" x14ac:dyDescent="0.35">
      <c r="A49" s="17"/>
      <c r="B49" s="17"/>
      <c r="C49" s="18">
        <f>I49*J47</f>
        <v>0</v>
      </c>
      <c r="D49" s="17">
        <v>73120</v>
      </c>
      <c r="E49" s="282">
        <v>13920</v>
      </c>
      <c r="F49" s="19" t="s">
        <v>38</v>
      </c>
      <c r="G49" s="19" t="s">
        <v>43</v>
      </c>
      <c r="H49" s="21" t="s">
        <v>44</v>
      </c>
      <c r="I49" s="64">
        <v>0</v>
      </c>
      <c r="J49" s="63"/>
      <c r="K49" s="286"/>
    </row>
    <row r="50" spans="1:11" ht="15" x14ac:dyDescent="0.35">
      <c r="A50" s="17"/>
      <c r="B50" s="17"/>
      <c r="C50" s="18">
        <f>I50*J47</f>
        <v>0</v>
      </c>
      <c r="D50" s="17">
        <v>73120</v>
      </c>
      <c r="E50" s="282">
        <v>13920</v>
      </c>
      <c r="F50" s="19" t="s">
        <v>38</v>
      </c>
      <c r="G50" s="19">
        <v>10778</v>
      </c>
      <c r="H50" s="21" t="s">
        <v>45</v>
      </c>
      <c r="I50" s="64">
        <v>0</v>
      </c>
      <c r="J50" s="63"/>
      <c r="K50" s="286"/>
    </row>
    <row r="51" spans="1:11" ht="15" x14ac:dyDescent="0.35">
      <c r="A51" s="17"/>
      <c r="B51" s="17"/>
      <c r="C51" s="18">
        <f>I51*J47</f>
        <v>0</v>
      </c>
      <c r="D51" s="17">
        <v>73120</v>
      </c>
      <c r="E51" s="282">
        <v>13920</v>
      </c>
      <c r="F51" s="19" t="s">
        <v>38</v>
      </c>
      <c r="G51" s="19" t="s">
        <v>46</v>
      </c>
      <c r="H51" s="21" t="s">
        <v>47</v>
      </c>
      <c r="I51" s="64">
        <v>0</v>
      </c>
      <c r="J51" s="63"/>
      <c r="K51" s="286"/>
    </row>
    <row r="52" spans="1:11" ht="15" x14ac:dyDescent="0.35">
      <c r="A52" s="17"/>
      <c r="B52" s="17"/>
      <c r="C52" s="18">
        <f>I52*J47</f>
        <v>0</v>
      </c>
      <c r="D52" s="17">
        <v>73120</v>
      </c>
      <c r="E52" s="282">
        <v>13920</v>
      </c>
      <c r="F52" s="19" t="s">
        <v>38</v>
      </c>
      <c r="G52" s="19" t="s">
        <v>48</v>
      </c>
      <c r="H52" s="21" t="s">
        <v>49</v>
      </c>
      <c r="I52" s="64">
        <v>0</v>
      </c>
      <c r="J52" s="63"/>
      <c r="K52" s="286"/>
    </row>
    <row r="53" spans="1:11" ht="15" x14ac:dyDescent="0.35">
      <c r="A53" s="17"/>
      <c r="B53" s="17"/>
      <c r="C53" s="18">
        <f>I53*J47</f>
        <v>0</v>
      </c>
      <c r="D53" s="17">
        <v>73120</v>
      </c>
      <c r="E53" s="282">
        <v>13920</v>
      </c>
      <c r="F53" s="19" t="s">
        <v>38</v>
      </c>
      <c r="G53" s="19">
        <v>10153</v>
      </c>
      <c r="H53" s="21" t="s">
        <v>50</v>
      </c>
      <c r="I53" s="64">
        <v>0</v>
      </c>
      <c r="J53" s="63"/>
      <c r="K53" s="286"/>
    </row>
    <row r="54" spans="1:11" ht="15" x14ac:dyDescent="0.35">
      <c r="A54" s="17"/>
      <c r="B54" s="17"/>
      <c r="C54" s="18">
        <f>I54*J47</f>
        <v>0</v>
      </c>
      <c r="D54" s="17">
        <v>73120</v>
      </c>
      <c r="E54" s="282">
        <v>13920</v>
      </c>
      <c r="F54" s="19" t="s">
        <v>38</v>
      </c>
      <c r="G54" s="19" t="s">
        <v>51</v>
      </c>
      <c r="H54" s="21" t="s">
        <v>52</v>
      </c>
      <c r="I54" s="64">
        <v>0</v>
      </c>
      <c r="J54" s="63"/>
      <c r="K54" s="286"/>
    </row>
    <row r="55" spans="1:11" ht="15" x14ac:dyDescent="0.35">
      <c r="A55" s="17"/>
      <c r="B55" s="17"/>
      <c r="C55" s="18"/>
      <c r="D55" s="17"/>
      <c r="E55" s="17"/>
      <c r="F55" s="22"/>
      <c r="G55" s="19"/>
      <c r="H55" s="23"/>
      <c r="I55" s="64">
        <v>0</v>
      </c>
      <c r="J55" s="63"/>
      <c r="K55" s="286"/>
    </row>
    <row r="56" spans="1:11" ht="15" x14ac:dyDescent="0.35">
      <c r="A56" s="17"/>
      <c r="B56" s="17"/>
      <c r="C56" s="18"/>
      <c r="D56" s="17"/>
      <c r="E56" s="17"/>
      <c r="F56" s="22"/>
      <c r="G56" s="19"/>
      <c r="H56" s="25"/>
      <c r="I56" s="24"/>
      <c r="J56" s="11"/>
      <c r="K56" s="11"/>
    </row>
    <row r="57" spans="1:11" x14ac:dyDescent="0.25">
      <c r="C57" s="8"/>
      <c r="F57" s="9"/>
      <c r="I57" s="10"/>
      <c r="J57" s="11"/>
    </row>
    <row r="58" spans="1:11" x14ac:dyDescent="0.25">
      <c r="B58" t="s">
        <v>57</v>
      </c>
      <c r="C58" s="58">
        <f>SUM(C5:C57)</f>
        <v>206359.4375</v>
      </c>
      <c r="F58" s="9"/>
      <c r="I58" s="10"/>
      <c r="J58" s="59">
        <f>J5+J15+J26+J37+J38</f>
        <v>206359.4375</v>
      </c>
    </row>
    <row r="59" spans="1:11" ht="13.8" thickBot="1" x14ac:dyDescent="0.3">
      <c r="C59" s="58"/>
      <c r="F59" s="9"/>
      <c r="I59" s="10"/>
      <c r="J59" s="59"/>
    </row>
    <row r="60" spans="1:11" ht="30.75" customHeight="1" x14ac:dyDescent="0.25">
      <c r="A60" s="249" t="s">
        <v>198</v>
      </c>
      <c r="B60" s="250" t="s">
        <v>199</v>
      </c>
      <c r="C60" s="320" t="s">
        <v>201</v>
      </c>
      <c r="D60" s="320"/>
      <c r="E60" s="320" t="s">
        <v>202</v>
      </c>
      <c r="F60" s="321"/>
      <c r="I60" s="312" t="s">
        <v>239</v>
      </c>
      <c r="J60" s="313">
        <v>11300</v>
      </c>
      <c r="K60" s="312">
        <f>C5+C15+C26+C37</f>
        <v>82500.988353668377</v>
      </c>
    </row>
    <row r="61" spans="1:11" ht="35.1" customHeight="1" x14ac:dyDescent="0.35">
      <c r="A61" s="247" t="s">
        <v>40</v>
      </c>
      <c r="B61" s="246">
        <f t="shared" ref="B61:B68" si="0">C5+C15+C26+C37</f>
        <v>82500.988353668377</v>
      </c>
      <c r="C61" s="317"/>
      <c r="D61" s="317"/>
      <c r="E61" s="322"/>
      <c r="F61" s="323"/>
      <c r="H61" s="243"/>
      <c r="I61" s="312"/>
      <c r="J61" s="313">
        <v>13920</v>
      </c>
      <c r="K61" s="312">
        <f>C13+C23+C34</f>
        <v>0</v>
      </c>
    </row>
    <row r="62" spans="1:11" ht="35.1" customHeight="1" x14ac:dyDescent="0.35">
      <c r="A62" s="248" t="s">
        <v>42</v>
      </c>
      <c r="B62" s="246">
        <f t="shared" si="0"/>
        <v>25906.756255678949</v>
      </c>
      <c r="C62" s="317"/>
      <c r="D62" s="317"/>
      <c r="E62" s="314"/>
      <c r="F62" s="315"/>
      <c r="H62" s="243"/>
      <c r="I62" s="312"/>
      <c r="J62" s="313">
        <v>13925</v>
      </c>
      <c r="K62" s="312">
        <f>C45</f>
        <v>0</v>
      </c>
    </row>
    <row r="63" spans="1:11" ht="35.1" customHeight="1" x14ac:dyDescent="0.35">
      <c r="A63" s="248" t="s">
        <v>44</v>
      </c>
      <c r="B63" s="246">
        <f t="shared" si="0"/>
        <v>45546.720168631815</v>
      </c>
      <c r="C63" s="317"/>
      <c r="D63" s="317"/>
      <c r="E63" s="314"/>
      <c r="F63" s="315"/>
      <c r="H63" s="243"/>
      <c r="I63" s="312"/>
      <c r="J63" s="313"/>
      <c r="K63" s="312">
        <f>SUM(K60:K62)</f>
        <v>82500.988353668377</v>
      </c>
    </row>
    <row r="64" spans="1:11" ht="35.1" customHeight="1" x14ac:dyDescent="0.35">
      <c r="A64" s="248" t="s">
        <v>45</v>
      </c>
      <c r="B64" s="246">
        <f t="shared" si="0"/>
        <v>23372.717323325975</v>
      </c>
      <c r="C64" s="317"/>
      <c r="D64" s="317"/>
      <c r="E64" s="314"/>
      <c r="F64" s="315"/>
      <c r="H64" s="243"/>
      <c r="I64" s="6"/>
    </row>
    <row r="65" spans="1:9" ht="35.1" customHeight="1" x14ac:dyDescent="0.35">
      <c r="A65" s="248" t="s">
        <v>47</v>
      </c>
      <c r="B65" s="246">
        <f t="shared" si="0"/>
        <v>12395.663211653664</v>
      </c>
      <c r="C65" s="317"/>
      <c r="D65" s="317"/>
      <c r="E65" s="314"/>
      <c r="F65" s="315"/>
      <c r="H65" s="243"/>
      <c r="I65" s="6"/>
    </row>
    <row r="66" spans="1:9" ht="35.1" customHeight="1" x14ac:dyDescent="0.35">
      <c r="A66" s="248" t="s">
        <v>49</v>
      </c>
      <c r="B66" s="246">
        <f t="shared" si="0"/>
        <v>7449.5782421288541</v>
      </c>
      <c r="C66" s="317"/>
      <c r="D66" s="317"/>
      <c r="E66" s="314"/>
      <c r="F66" s="315"/>
      <c r="H66" s="243"/>
      <c r="I66" s="6"/>
    </row>
    <row r="67" spans="1:9" ht="35.1" customHeight="1" x14ac:dyDescent="0.35">
      <c r="A67" s="248" t="s">
        <v>50</v>
      </c>
      <c r="B67" s="246">
        <f t="shared" si="0"/>
        <v>3578.115973938905</v>
      </c>
      <c r="C67" s="317"/>
      <c r="D67" s="317"/>
      <c r="E67" s="314"/>
      <c r="F67" s="315"/>
      <c r="H67" s="243"/>
      <c r="I67" s="6"/>
    </row>
    <row r="68" spans="1:9" ht="35.1" customHeight="1" x14ac:dyDescent="0.35">
      <c r="A68" s="248" t="s">
        <v>52</v>
      </c>
      <c r="B68" s="246">
        <f t="shared" si="0"/>
        <v>5608.8979709734622</v>
      </c>
      <c r="C68" s="317"/>
      <c r="D68" s="317"/>
      <c r="E68" s="314"/>
      <c r="F68" s="315"/>
      <c r="H68" s="243"/>
      <c r="I68" s="6"/>
    </row>
    <row r="69" spans="1:9" ht="35.1" customHeight="1" thickBot="1" x14ac:dyDescent="0.4">
      <c r="A69" s="245" t="s">
        <v>200</v>
      </c>
      <c r="B69" s="244">
        <f>SUM(B61:B68)</f>
        <v>206359.43749999997</v>
      </c>
      <c r="C69" s="316"/>
      <c r="D69" s="316"/>
      <c r="E69" s="318"/>
      <c r="F69" s="319"/>
      <c r="H69" s="243"/>
      <c r="I69" s="6"/>
    </row>
    <row r="70" spans="1:9" x14ac:dyDescent="0.25">
      <c r="C70" s="91"/>
      <c r="D70" s="91"/>
      <c r="H70" s="91"/>
    </row>
    <row r="71" spans="1:9" ht="9.75" customHeight="1" x14ac:dyDescent="0.25"/>
    <row r="72" spans="1:9" ht="30.75" customHeight="1" x14ac:dyDescent="0.25"/>
  </sheetData>
  <mergeCells count="20">
    <mergeCell ref="E60:F60"/>
    <mergeCell ref="E61:F61"/>
    <mergeCell ref="E62:F62"/>
    <mergeCell ref="E63:F63"/>
    <mergeCell ref="C65:D65"/>
    <mergeCell ref="C60:D60"/>
    <mergeCell ref="C61:D61"/>
    <mergeCell ref="C62:D62"/>
    <mergeCell ref="C63:D63"/>
    <mergeCell ref="C64:D64"/>
    <mergeCell ref="E64:F64"/>
    <mergeCell ref="E65:F65"/>
    <mergeCell ref="E66:F66"/>
    <mergeCell ref="E67:F67"/>
    <mergeCell ref="C69:D69"/>
    <mergeCell ref="C66:D66"/>
    <mergeCell ref="C67:D67"/>
    <mergeCell ref="C68:D68"/>
    <mergeCell ref="E68:F68"/>
    <mergeCell ref="E69:F69"/>
  </mergeCell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A67"/>
  <sheetViews>
    <sheetView zoomScale="80" zoomScaleNormal="80" zoomScaleSheetLayoutView="90" workbookViewId="0">
      <selection activeCell="B66" sqref="B66"/>
    </sheetView>
  </sheetViews>
  <sheetFormatPr defaultColWidth="9.109375" defaultRowHeight="15.6" x14ac:dyDescent="0.3"/>
  <cols>
    <col min="1" max="1" width="11" style="101" customWidth="1"/>
    <col min="2" max="2" width="39.33203125" style="101" customWidth="1"/>
    <col min="3" max="3" width="15" style="101" customWidth="1"/>
    <col min="4" max="4" width="18.5546875" style="101" customWidth="1"/>
    <col min="5" max="5" width="19.6640625" style="101" customWidth="1"/>
    <col min="6" max="6" width="46.33203125" style="101" customWidth="1"/>
    <col min="7" max="7" width="8" style="101" hidden="1" customWidth="1"/>
    <col min="8" max="9" width="9.109375" style="101" hidden="1" customWidth="1"/>
    <col min="10" max="10" width="11.5546875" style="101" hidden="1" customWidth="1"/>
    <col min="11" max="11" width="22.88671875" style="101" customWidth="1"/>
    <col min="12" max="16384" width="9.109375" style="101"/>
  </cols>
  <sheetData>
    <row r="1" spans="1:235" ht="17.399999999999999" x14ac:dyDescent="0.3">
      <c r="B1" s="221" t="s">
        <v>237</v>
      </c>
      <c r="G1" s="103"/>
      <c r="H1" s="103"/>
      <c r="I1" s="103"/>
      <c r="J1" s="103"/>
    </row>
    <row r="2" spans="1:235" ht="7.5" customHeight="1" x14ac:dyDescent="0.3">
      <c r="B2" s="102"/>
      <c r="G2" s="103"/>
      <c r="H2" s="103"/>
      <c r="I2" s="103"/>
      <c r="J2" s="103"/>
    </row>
    <row r="3" spans="1:235" x14ac:dyDescent="0.3">
      <c r="A3" s="207" t="s">
        <v>158</v>
      </c>
      <c r="B3" s="104" t="s">
        <v>0</v>
      </c>
      <c r="C3" s="105" t="s">
        <v>101</v>
      </c>
      <c r="D3" s="106" t="s">
        <v>2</v>
      </c>
      <c r="E3" s="105" t="s">
        <v>151</v>
      </c>
      <c r="F3" s="105" t="s">
        <v>3</v>
      </c>
      <c r="G3" s="107"/>
      <c r="H3" s="108"/>
      <c r="I3" s="103"/>
      <c r="J3" s="103"/>
    </row>
    <row r="4" spans="1:235" x14ac:dyDescent="0.3">
      <c r="B4" s="109" t="s">
        <v>117</v>
      </c>
      <c r="C4" s="110" t="s">
        <v>102</v>
      </c>
      <c r="D4" s="111">
        <v>574</v>
      </c>
      <c r="E4" s="112">
        <f>D4+8.88+51.5+6.6+D4*7%</f>
        <v>681.16000000000008</v>
      </c>
      <c r="F4" s="111">
        <f>E4*12</f>
        <v>8173.920000000001</v>
      </c>
      <c r="G4" s="101">
        <v>461</v>
      </c>
      <c r="H4" s="113">
        <f>G4*4%</f>
        <v>18.440000000000001</v>
      </c>
      <c r="I4" s="114">
        <f>G4+H4</f>
        <v>479.44</v>
      </c>
      <c r="J4" s="115" t="s">
        <v>102</v>
      </c>
    </row>
    <row r="5" spans="1:235" s="108" customFormat="1" x14ac:dyDescent="0.3">
      <c r="A5" s="103"/>
      <c r="B5" s="116" t="s">
        <v>118</v>
      </c>
      <c r="C5" s="110" t="s">
        <v>103</v>
      </c>
      <c r="D5" s="117">
        <v>484</v>
      </c>
      <c r="E5" s="112">
        <f>D5+8.88+51.5+6.6+D5*7%</f>
        <v>584.86</v>
      </c>
      <c r="F5" s="117">
        <f>E5*12</f>
        <v>7018.32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</row>
    <row r="6" spans="1:235" s="108" customFormat="1" x14ac:dyDescent="0.3">
      <c r="A6" s="103"/>
      <c r="B6" s="116" t="s">
        <v>119</v>
      </c>
      <c r="C6" s="110" t="s">
        <v>103</v>
      </c>
      <c r="D6" s="117">
        <v>484</v>
      </c>
      <c r="E6" s="112">
        <f t="shared" ref="E6:E13" si="0">D6+8.88+51.5+6.6+D6*7%</f>
        <v>584.86</v>
      </c>
      <c r="F6" s="117">
        <f t="shared" ref="F6:F13" si="1">E6*12</f>
        <v>7018.32</v>
      </c>
      <c r="G6" s="103">
        <v>426</v>
      </c>
      <c r="H6" s="119">
        <f t="shared" ref="H6:H13" si="2">G6*4%</f>
        <v>17.04</v>
      </c>
      <c r="I6" s="119">
        <f t="shared" ref="I6:I13" si="3">G6+H6</f>
        <v>443.04</v>
      </c>
      <c r="J6" s="120" t="s">
        <v>103</v>
      </c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</row>
    <row r="7" spans="1:235" s="108" customFormat="1" x14ac:dyDescent="0.3">
      <c r="A7" s="103"/>
      <c r="B7" s="116" t="s">
        <v>120</v>
      </c>
      <c r="C7" s="110" t="s">
        <v>103</v>
      </c>
      <c r="D7" s="117">
        <v>484</v>
      </c>
      <c r="E7" s="112">
        <f t="shared" si="0"/>
        <v>584.86</v>
      </c>
      <c r="F7" s="117">
        <f t="shared" si="1"/>
        <v>7018.32</v>
      </c>
      <c r="G7" s="103">
        <v>365</v>
      </c>
      <c r="H7" s="119">
        <f t="shared" si="2"/>
        <v>14.6</v>
      </c>
      <c r="I7" s="119">
        <f t="shared" si="3"/>
        <v>379.6</v>
      </c>
      <c r="J7" s="120" t="s">
        <v>103</v>
      </c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</row>
    <row r="8" spans="1:235" s="108" customFormat="1" x14ac:dyDescent="0.3">
      <c r="A8" s="103"/>
      <c r="B8" s="116" t="s">
        <v>104</v>
      </c>
      <c r="C8" s="110" t="s">
        <v>103</v>
      </c>
      <c r="D8" s="117">
        <v>484</v>
      </c>
      <c r="E8" s="112">
        <f t="shared" si="0"/>
        <v>584.86</v>
      </c>
      <c r="F8" s="117">
        <f t="shared" si="1"/>
        <v>7018.32</v>
      </c>
      <c r="G8" s="103">
        <v>410</v>
      </c>
      <c r="H8" s="119">
        <f t="shared" si="2"/>
        <v>16.399999999999999</v>
      </c>
      <c r="I8" s="119">
        <f t="shared" si="3"/>
        <v>426.4</v>
      </c>
      <c r="J8" s="120" t="s">
        <v>103</v>
      </c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</row>
    <row r="9" spans="1:235" x14ac:dyDescent="0.3">
      <c r="B9" s="109" t="s">
        <v>105</v>
      </c>
      <c r="C9" s="110" t="s">
        <v>103</v>
      </c>
      <c r="D9" s="117">
        <v>484</v>
      </c>
      <c r="E9" s="112">
        <f t="shared" si="0"/>
        <v>584.86</v>
      </c>
      <c r="F9" s="111">
        <f t="shared" si="1"/>
        <v>7018.32</v>
      </c>
      <c r="G9" s="101">
        <v>410</v>
      </c>
      <c r="H9" s="113">
        <f t="shared" si="2"/>
        <v>16.399999999999999</v>
      </c>
      <c r="I9" s="114">
        <f t="shared" si="3"/>
        <v>426.4</v>
      </c>
      <c r="J9" s="115" t="s">
        <v>103</v>
      </c>
    </row>
    <row r="10" spans="1:235" x14ac:dyDescent="0.3">
      <c r="B10" s="109" t="s">
        <v>121</v>
      </c>
      <c r="C10" s="110" t="s">
        <v>103</v>
      </c>
      <c r="D10" s="117">
        <v>484</v>
      </c>
      <c r="E10" s="112">
        <f t="shared" si="0"/>
        <v>584.86</v>
      </c>
      <c r="F10" s="111">
        <f t="shared" si="1"/>
        <v>7018.32</v>
      </c>
      <c r="G10" s="101">
        <v>324</v>
      </c>
      <c r="H10" s="113">
        <f t="shared" si="2"/>
        <v>12.96</v>
      </c>
      <c r="I10" s="114">
        <f t="shared" si="3"/>
        <v>336.96</v>
      </c>
      <c r="J10" s="115" t="s">
        <v>103</v>
      </c>
    </row>
    <row r="11" spans="1:235" x14ac:dyDescent="0.3">
      <c r="B11" s="109" t="s">
        <v>122</v>
      </c>
      <c r="C11" s="110" t="s">
        <v>103</v>
      </c>
      <c r="D11" s="117">
        <v>484</v>
      </c>
      <c r="E11" s="112">
        <f t="shared" si="0"/>
        <v>584.86</v>
      </c>
      <c r="F11" s="111">
        <f t="shared" si="1"/>
        <v>7018.32</v>
      </c>
      <c r="G11" s="101">
        <v>350</v>
      </c>
      <c r="H11" s="113">
        <f t="shared" si="2"/>
        <v>14</v>
      </c>
      <c r="I11" s="114">
        <f t="shared" si="3"/>
        <v>364</v>
      </c>
      <c r="J11" s="115" t="s">
        <v>103</v>
      </c>
      <c r="K11" s="127"/>
    </row>
    <row r="12" spans="1:235" x14ac:dyDescent="0.3">
      <c r="B12" s="109" t="s">
        <v>123</v>
      </c>
      <c r="C12" s="110" t="s">
        <v>103</v>
      </c>
      <c r="D12" s="117">
        <v>484</v>
      </c>
      <c r="E12" s="112">
        <f t="shared" si="0"/>
        <v>584.86</v>
      </c>
      <c r="F12" s="111">
        <f t="shared" si="1"/>
        <v>7018.32</v>
      </c>
      <c r="G12" s="101">
        <v>365</v>
      </c>
      <c r="H12" s="113">
        <f t="shared" si="2"/>
        <v>14.6</v>
      </c>
      <c r="I12" s="114">
        <f t="shared" si="3"/>
        <v>379.6</v>
      </c>
      <c r="J12" s="115" t="s">
        <v>103</v>
      </c>
    </row>
    <row r="13" spans="1:235" x14ac:dyDescent="0.3">
      <c r="B13" s="109" t="s">
        <v>149</v>
      </c>
      <c r="C13" s="110" t="s">
        <v>103</v>
      </c>
      <c r="D13" s="117">
        <v>484</v>
      </c>
      <c r="E13" s="112">
        <f t="shared" si="0"/>
        <v>584.86</v>
      </c>
      <c r="F13" s="111">
        <f t="shared" si="1"/>
        <v>7018.32</v>
      </c>
      <c r="G13" s="101">
        <v>324</v>
      </c>
      <c r="H13" s="113">
        <f t="shared" si="2"/>
        <v>12.96</v>
      </c>
      <c r="I13" s="114">
        <f t="shared" si="3"/>
        <v>336.96</v>
      </c>
      <c r="J13" s="115" t="s">
        <v>103</v>
      </c>
    </row>
    <row r="14" spans="1:235" x14ac:dyDescent="0.3">
      <c r="B14" s="109" t="s">
        <v>113</v>
      </c>
      <c r="C14" s="121"/>
      <c r="D14" s="122"/>
      <c r="E14" s="112"/>
      <c r="F14" s="123">
        <v>2596.2600000000002</v>
      </c>
    </row>
    <row r="15" spans="1:235" x14ac:dyDescent="0.3">
      <c r="B15" s="124" t="s">
        <v>12</v>
      </c>
      <c r="C15" s="125"/>
      <c r="D15" s="126">
        <f>SUM(D4:D13)</f>
        <v>4930</v>
      </c>
      <c r="E15" s="126">
        <f>SUM(E4:E13)</f>
        <v>5944.9</v>
      </c>
      <c r="F15" s="126">
        <f>SUM(F4:F14)</f>
        <v>73935.059999999983</v>
      </c>
      <c r="G15" s="101">
        <v>151</v>
      </c>
      <c r="J15" s="115"/>
    </row>
    <row r="16" spans="1:235" x14ac:dyDescent="0.3">
      <c r="F16" s="224"/>
      <c r="G16" s="128"/>
      <c r="H16" s="129"/>
      <c r="I16" s="128"/>
      <c r="J16" s="128"/>
    </row>
    <row r="17" spans="1:235" x14ac:dyDescent="0.3">
      <c r="A17" s="207" t="s">
        <v>24</v>
      </c>
      <c r="B17" s="104" t="s">
        <v>13</v>
      </c>
      <c r="C17" s="105" t="s">
        <v>1</v>
      </c>
      <c r="D17" s="105" t="s">
        <v>150</v>
      </c>
      <c r="E17" s="105" t="s">
        <v>141</v>
      </c>
      <c r="F17" s="105" t="s">
        <v>3</v>
      </c>
      <c r="G17" s="128"/>
      <c r="H17" s="129"/>
      <c r="I17" s="128"/>
      <c r="J17" s="128"/>
    </row>
    <row r="18" spans="1:235" s="108" customFormat="1" ht="18.75" customHeight="1" x14ac:dyDescent="0.3">
      <c r="A18" s="103"/>
      <c r="B18" s="116" t="s">
        <v>142</v>
      </c>
      <c r="C18" s="130">
        <v>1</v>
      </c>
      <c r="D18" s="111">
        <v>1807.75</v>
      </c>
      <c r="E18" s="112">
        <f>1807.75+105+176.31*2+131.06+76.07*2</f>
        <v>2548.5699999999997</v>
      </c>
      <c r="F18" s="117">
        <f>E18*12+200</f>
        <v>30782.839999999997</v>
      </c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</row>
    <row r="19" spans="1:235" s="108" customFormat="1" x14ac:dyDescent="0.3">
      <c r="A19" s="103"/>
      <c r="B19" s="116" t="s">
        <v>143</v>
      </c>
      <c r="C19" s="130">
        <v>1</v>
      </c>
      <c r="D19" s="112">
        <v>432.75</v>
      </c>
      <c r="E19" s="112">
        <f>D19+8.88+51.5+6.6+D19*7%</f>
        <v>530.02250000000004</v>
      </c>
      <c r="F19" s="117">
        <f t="shared" ref="F19:F25" si="4">E19*12</f>
        <v>6360.27</v>
      </c>
      <c r="G19" s="103"/>
      <c r="H19" s="103"/>
      <c r="I19" s="103"/>
      <c r="J19" s="118">
        <f>E19*2</f>
        <v>1060.0450000000001</v>
      </c>
      <c r="K19" s="118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  <c r="HZ19" s="103"/>
      <c r="IA19" s="103"/>
    </row>
    <row r="20" spans="1:235" s="108" customFormat="1" x14ac:dyDescent="0.3">
      <c r="A20" s="103"/>
      <c r="B20" s="116" t="s">
        <v>147</v>
      </c>
      <c r="C20" s="130">
        <v>1</v>
      </c>
      <c r="D20" s="112">
        <v>432.75</v>
      </c>
      <c r="E20" s="112">
        <f t="shared" ref="E20:E26" si="5">D20+8.88+51.5+6.6+D20*7%</f>
        <v>530.02250000000004</v>
      </c>
      <c r="F20" s="117">
        <f t="shared" si="4"/>
        <v>6360.27</v>
      </c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</row>
    <row r="21" spans="1:235" x14ac:dyDescent="0.3">
      <c r="B21" s="109" t="s">
        <v>124</v>
      </c>
      <c r="C21" s="130" t="s">
        <v>110</v>
      </c>
      <c r="D21" s="112">
        <v>710</v>
      </c>
      <c r="E21" s="112">
        <f t="shared" si="5"/>
        <v>826.68000000000006</v>
      </c>
      <c r="F21" s="111">
        <f t="shared" si="4"/>
        <v>9920.16</v>
      </c>
      <c r="G21" s="131">
        <v>599</v>
      </c>
      <c r="H21" s="132"/>
      <c r="I21" s="128"/>
      <c r="J21" s="128"/>
    </row>
    <row r="22" spans="1:235" ht="21" x14ac:dyDescent="0.4">
      <c r="B22" s="109" t="s">
        <v>106</v>
      </c>
      <c r="C22" s="130" t="s">
        <v>107</v>
      </c>
      <c r="D22" s="112">
        <v>391</v>
      </c>
      <c r="E22" s="112">
        <f t="shared" si="5"/>
        <v>485.35</v>
      </c>
      <c r="F22" s="111">
        <f t="shared" si="4"/>
        <v>5824.2000000000007</v>
      </c>
      <c r="G22" s="131">
        <v>391</v>
      </c>
      <c r="H22" s="132"/>
      <c r="I22" s="128"/>
      <c r="J22" s="128"/>
      <c r="K22" s="305"/>
      <c r="L22" s="305"/>
      <c r="M22" s="305"/>
    </row>
    <row r="23" spans="1:235" ht="21" x14ac:dyDescent="0.4">
      <c r="B23" s="109" t="s">
        <v>154</v>
      </c>
      <c r="C23" s="130" t="s">
        <v>108</v>
      </c>
      <c r="D23" s="112">
        <v>391</v>
      </c>
      <c r="E23" s="112">
        <f t="shared" si="5"/>
        <v>485.35</v>
      </c>
      <c r="F23" s="111">
        <f t="shared" si="4"/>
        <v>5824.2000000000007</v>
      </c>
      <c r="G23" s="131">
        <v>341</v>
      </c>
      <c r="H23" s="119"/>
      <c r="I23" s="103"/>
      <c r="J23" s="118">
        <f>E23*4</f>
        <v>1941.4</v>
      </c>
      <c r="K23" s="306"/>
      <c r="L23" s="305"/>
      <c r="M23" s="305"/>
    </row>
    <row r="24" spans="1:235" ht="21" x14ac:dyDescent="0.4">
      <c r="B24" s="109" t="s">
        <v>144</v>
      </c>
      <c r="C24" s="130" t="s">
        <v>108</v>
      </c>
      <c r="D24" s="112">
        <v>391</v>
      </c>
      <c r="E24" s="112">
        <f t="shared" si="5"/>
        <v>485.35</v>
      </c>
      <c r="F24" s="111">
        <f t="shared" si="4"/>
        <v>5824.2000000000007</v>
      </c>
      <c r="G24" s="131">
        <v>341</v>
      </c>
      <c r="H24" s="119"/>
      <c r="I24" s="103"/>
      <c r="J24" s="103"/>
      <c r="K24" s="305"/>
      <c r="L24" s="305"/>
      <c r="M24" s="305"/>
    </row>
    <row r="25" spans="1:235" ht="21" x14ac:dyDescent="0.4">
      <c r="B25" s="109" t="s">
        <v>126</v>
      </c>
      <c r="C25" s="130" t="s">
        <v>108</v>
      </c>
      <c r="D25" s="112">
        <v>391</v>
      </c>
      <c r="E25" s="112">
        <f t="shared" si="5"/>
        <v>485.35</v>
      </c>
      <c r="F25" s="111">
        <f t="shared" si="4"/>
        <v>5824.2000000000007</v>
      </c>
      <c r="G25" s="131">
        <v>341</v>
      </c>
      <c r="H25" s="119"/>
      <c r="I25" s="103"/>
      <c r="J25" s="103"/>
      <c r="K25" s="305"/>
      <c r="L25" s="305"/>
      <c r="M25" s="305"/>
    </row>
    <row r="26" spans="1:235" ht="21" x14ac:dyDescent="0.4">
      <c r="B26" s="302" t="s">
        <v>203</v>
      </c>
      <c r="C26" s="130" t="s">
        <v>108</v>
      </c>
      <c r="D26" s="112">
        <v>309</v>
      </c>
      <c r="E26" s="112">
        <f t="shared" si="5"/>
        <v>397.61</v>
      </c>
      <c r="F26" s="111">
        <f>E26*12</f>
        <v>4771.32</v>
      </c>
      <c r="G26" s="131"/>
      <c r="H26" s="119"/>
      <c r="I26" s="103"/>
      <c r="J26" s="103"/>
      <c r="K26" s="306"/>
      <c r="L26" s="305"/>
      <c r="M26" s="305"/>
    </row>
    <row r="27" spans="1:235" ht="21" x14ac:dyDescent="0.4">
      <c r="B27" s="124" t="s">
        <v>12</v>
      </c>
      <c r="C27" s="133"/>
      <c r="D27" s="126">
        <f>SUM(D18:D26)</f>
        <v>5256.25</v>
      </c>
      <c r="E27" s="126">
        <f>SUM(E18:E26)</f>
        <v>6774.3050000000012</v>
      </c>
      <c r="F27" s="126">
        <f>SUM(F18:F26)</f>
        <v>81491.66</v>
      </c>
      <c r="J27" s="127">
        <f>F27-F18</f>
        <v>50708.820000000007</v>
      </c>
      <c r="K27" s="305"/>
      <c r="L27" s="305"/>
      <c r="M27" s="305"/>
    </row>
    <row r="28" spans="1:235" x14ac:dyDescent="0.3">
      <c r="B28" s="103"/>
      <c r="C28" s="103"/>
      <c r="D28" s="134"/>
      <c r="E28" s="108"/>
      <c r="F28" s="135">
        <f>F15+F27</f>
        <v>155426.71999999997</v>
      </c>
      <c r="G28" s="103"/>
      <c r="H28" s="103"/>
      <c r="I28" s="103"/>
      <c r="J28" s="103"/>
    </row>
    <row r="29" spans="1:235" x14ac:dyDescent="0.3">
      <c r="A29" s="207" t="s">
        <v>25</v>
      </c>
      <c r="B29" s="287" t="s">
        <v>162</v>
      </c>
      <c r="C29" s="105" t="s">
        <v>80</v>
      </c>
      <c r="D29" s="105" t="s">
        <v>81</v>
      </c>
      <c r="E29" s="105" t="s">
        <v>78</v>
      </c>
      <c r="F29" s="105" t="s">
        <v>79</v>
      </c>
    </row>
    <row r="30" spans="1:235" ht="31.5" customHeight="1" x14ac:dyDescent="0.3">
      <c r="B30" s="136" t="s">
        <v>20</v>
      </c>
      <c r="C30" s="137">
        <v>12</v>
      </c>
      <c r="D30" s="138">
        <v>250</v>
      </c>
      <c r="E30" s="139">
        <f>C30*D30</f>
        <v>3000</v>
      </c>
      <c r="F30" s="140" t="s">
        <v>128</v>
      </c>
      <c r="G30" s="103"/>
      <c r="H30" s="103"/>
      <c r="I30" s="103"/>
      <c r="J30" s="103"/>
      <c r="K30" s="127"/>
    </row>
    <row r="31" spans="1:235" ht="33.75" customHeight="1" x14ac:dyDescent="0.3">
      <c r="B31" s="141" t="s">
        <v>21</v>
      </c>
      <c r="C31" s="137">
        <v>12</v>
      </c>
      <c r="D31" s="138">
        <f>E31/12</f>
        <v>541.66666666666663</v>
      </c>
      <c r="E31" s="139">
        <v>6500</v>
      </c>
      <c r="F31" s="142" t="s">
        <v>83</v>
      </c>
      <c r="G31" s="103"/>
      <c r="H31" s="103"/>
      <c r="I31" s="103"/>
      <c r="J31" s="103"/>
    </row>
    <row r="32" spans="1:235" s="148" customFormat="1" ht="65.25" customHeight="1" x14ac:dyDescent="0.25">
      <c r="A32" s="143"/>
      <c r="B32" s="144" t="s">
        <v>157</v>
      </c>
      <c r="C32" s="137">
        <v>3</v>
      </c>
      <c r="D32" s="145"/>
      <c r="E32" s="139">
        <f>8496+78.67</f>
        <v>8574.67</v>
      </c>
      <c r="F32" s="144" t="s">
        <v>175</v>
      </c>
      <c r="G32" s="146"/>
      <c r="H32" s="146"/>
      <c r="I32" s="146"/>
      <c r="J32" s="147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3"/>
      <c r="FV32" s="143"/>
      <c r="FW32" s="143"/>
      <c r="FX32" s="143"/>
      <c r="FY32" s="143"/>
      <c r="FZ32" s="143"/>
      <c r="GA32" s="143"/>
      <c r="GB32" s="143"/>
      <c r="GC32" s="143"/>
      <c r="GD32" s="143"/>
      <c r="GE32" s="143"/>
      <c r="GF32" s="143"/>
      <c r="GG32" s="143"/>
      <c r="GH32" s="143"/>
      <c r="GI32" s="143"/>
      <c r="GJ32" s="143"/>
      <c r="GK32" s="143"/>
      <c r="GL32" s="143"/>
      <c r="GM32" s="143"/>
      <c r="GN32" s="143"/>
      <c r="GO32" s="143"/>
      <c r="GP32" s="143"/>
      <c r="GQ32" s="143"/>
      <c r="GR32" s="143"/>
      <c r="GS32" s="143"/>
      <c r="GT32" s="143"/>
      <c r="GU32" s="143"/>
      <c r="GV32" s="143"/>
      <c r="GW32" s="143"/>
      <c r="GX32" s="143"/>
      <c r="GY32" s="143"/>
      <c r="GZ32" s="143"/>
      <c r="HA32" s="143"/>
      <c r="HB32" s="143"/>
      <c r="HC32" s="143"/>
      <c r="HD32" s="143"/>
      <c r="HE32" s="143"/>
      <c r="HF32" s="143"/>
      <c r="HG32" s="143"/>
      <c r="HH32" s="143"/>
      <c r="HI32" s="143"/>
      <c r="HJ32" s="143"/>
      <c r="HK32" s="143"/>
      <c r="HL32" s="143"/>
      <c r="HM32" s="143"/>
      <c r="HN32" s="143"/>
      <c r="HO32" s="143"/>
      <c r="HP32" s="143"/>
      <c r="HQ32" s="143"/>
      <c r="HR32" s="143"/>
      <c r="HS32" s="143"/>
      <c r="HT32" s="143"/>
      <c r="HU32" s="143"/>
      <c r="HV32" s="143"/>
      <c r="HW32" s="143"/>
      <c r="HX32" s="143"/>
      <c r="HY32" s="143"/>
      <c r="HZ32" s="143"/>
      <c r="IA32" s="143"/>
    </row>
    <row r="33" spans="1:235" s="108" customFormat="1" ht="48.75" customHeight="1" x14ac:dyDescent="0.3">
      <c r="A33" s="103"/>
      <c r="B33" s="151" t="s">
        <v>84</v>
      </c>
      <c r="C33" s="152">
        <v>12</v>
      </c>
      <c r="D33" s="156"/>
      <c r="E33" s="230">
        <v>11200</v>
      </c>
      <c r="F33" s="151" t="s">
        <v>236</v>
      </c>
      <c r="G33" s="146"/>
      <c r="H33" s="146"/>
      <c r="I33" s="146"/>
      <c r="J33" s="103"/>
      <c r="K33" s="118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  <c r="IA33" s="103"/>
    </row>
    <row r="34" spans="1:235" s="108" customFormat="1" ht="18" customHeight="1" x14ac:dyDescent="0.3">
      <c r="A34" s="103"/>
      <c r="B34" s="208" t="s">
        <v>178</v>
      </c>
      <c r="C34" s="209"/>
      <c r="D34" s="210"/>
      <c r="E34" s="211"/>
      <c r="F34" s="212"/>
      <c r="G34" s="146"/>
      <c r="H34" s="146"/>
      <c r="I34" s="146"/>
      <c r="J34" s="103"/>
      <c r="K34" s="118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  <c r="IA34" s="103"/>
    </row>
    <row r="35" spans="1:235" s="108" customFormat="1" ht="18" customHeight="1" x14ac:dyDescent="0.3">
      <c r="A35" s="103"/>
      <c r="B35" s="158" t="s">
        <v>224</v>
      </c>
      <c r="C35" s="152">
        <v>1</v>
      </c>
      <c r="D35" s="156"/>
      <c r="E35" s="156">
        <v>0</v>
      </c>
      <c r="F35" s="151"/>
      <c r="G35" s="146"/>
      <c r="H35" s="146"/>
      <c r="I35" s="146"/>
      <c r="J35" s="103"/>
      <c r="K35" s="118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  <c r="GK35" s="103"/>
      <c r="GL35" s="103"/>
      <c r="GM35" s="103"/>
      <c r="GN35" s="103"/>
      <c r="GO35" s="103"/>
      <c r="GP35" s="103"/>
      <c r="GQ35" s="103"/>
      <c r="GR35" s="103"/>
      <c r="GS35" s="103"/>
      <c r="GT35" s="103"/>
      <c r="GU35" s="103"/>
      <c r="GV35" s="103"/>
      <c r="GW35" s="103"/>
      <c r="GX35" s="103"/>
      <c r="GY35" s="103"/>
      <c r="GZ35" s="103"/>
      <c r="HA35" s="103"/>
      <c r="HB35" s="103"/>
      <c r="HC35" s="103"/>
      <c r="HD35" s="103"/>
      <c r="HE35" s="103"/>
      <c r="HF35" s="103"/>
      <c r="HG35" s="103"/>
      <c r="HH35" s="103"/>
      <c r="HI35" s="103"/>
      <c r="HJ35" s="103"/>
      <c r="HK35" s="103"/>
      <c r="HL35" s="103"/>
      <c r="HM35" s="103"/>
      <c r="HN35" s="103"/>
      <c r="HO35" s="103"/>
      <c r="HP35" s="103"/>
      <c r="HQ35" s="103"/>
      <c r="HR35" s="103"/>
      <c r="HS35" s="103"/>
      <c r="HT35" s="103"/>
      <c r="HU35" s="103"/>
      <c r="HV35" s="103"/>
      <c r="HW35" s="103"/>
      <c r="HX35" s="103"/>
      <c r="HY35" s="103"/>
      <c r="HZ35" s="103"/>
      <c r="IA35" s="103"/>
    </row>
    <row r="36" spans="1:235" s="155" customFormat="1" ht="30" customHeight="1" x14ac:dyDescent="0.3">
      <c r="A36" s="153"/>
      <c r="B36" s="154" t="s">
        <v>235</v>
      </c>
      <c r="C36" s="290">
        <v>1</v>
      </c>
      <c r="D36" s="289"/>
      <c r="E36" s="150">
        <v>3000</v>
      </c>
      <c r="F36" s="194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/>
      <c r="DZ36" s="153"/>
      <c r="EA36" s="153"/>
      <c r="EB36" s="153"/>
      <c r="EC36" s="153"/>
      <c r="ED36" s="153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  <c r="FF36" s="153"/>
      <c r="FG36" s="153"/>
      <c r="FH36" s="153"/>
      <c r="FI36" s="153"/>
      <c r="FJ36" s="153"/>
      <c r="FK36" s="153"/>
      <c r="FL36" s="153"/>
      <c r="FM36" s="153"/>
      <c r="FN36" s="153"/>
      <c r="FO36" s="153"/>
      <c r="FP36" s="153"/>
      <c r="FQ36" s="153"/>
      <c r="FR36" s="153"/>
      <c r="FS36" s="153"/>
      <c r="FT36" s="153"/>
      <c r="FU36" s="153"/>
      <c r="FV36" s="153"/>
      <c r="FW36" s="153"/>
      <c r="FX36" s="153"/>
      <c r="FY36" s="153"/>
      <c r="FZ36" s="153"/>
      <c r="GA36" s="153"/>
      <c r="GB36" s="153"/>
      <c r="GC36" s="153"/>
      <c r="GD36" s="153"/>
      <c r="GE36" s="153"/>
      <c r="GF36" s="153"/>
      <c r="GG36" s="153"/>
      <c r="GH36" s="153"/>
      <c r="GI36" s="153"/>
      <c r="GJ36" s="153"/>
      <c r="GK36" s="153"/>
      <c r="GL36" s="153"/>
      <c r="GM36" s="153"/>
      <c r="GN36" s="153"/>
      <c r="GO36" s="153"/>
      <c r="GP36" s="153"/>
      <c r="GQ36" s="153"/>
      <c r="GR36" s="153"/>
      <c r="GS36" s="153"/>
      <c r="GT36" s="153"/>
      <c r="GU36" s="153"/>
      <c r="GV36" s="153"/>
      <c r="GW36" s="153"/>
      <c r="GX36" s="153"/>
      <c r="GY36" s="153"/>
      <c r="GZ36" s="153"/>
      <c r="HA36" s="153"/>
      <c r="HB36" s="153"/>
      <c r="HC36" s="153"/>
      <c r="HD36" s="153"/>
      <c r="HE36" s="153"/>
      <c r="HF36" s="153"/>
      <c r="HG36" s="153"/>
      <c r="HH36" s="153"/>
      <c r="HI36" s="153"/>
      <c r="HJ36" s="153"/>
      <c r="HK36" s="153"/>
      <c r="HL36" s="153"/>
      <c r="HM36" s="153"/>
      <c r="HN36" s="153"/>
      <c r="HO36" s="153"/>
      <c r="HP36" s="153"/>
      <c r="HQ36" s="153"/>
      <c r="HR36" s="153"/>
      <c r="HS36" s="153"/>
      <c r="HT36" s="153"/>
      <c r="HU36" s="153"/>
      <c r="HV36" s="153"/>
      <c r="HW36" s="153"/>
      <c r="HX36" s="153"/>
      <c r="HY36" s="153"/>
      <c r="HZ36" s="153"/>
      <c r="IA36" s="153"/>
    </row>
    <row r="37" spans="1:235" s="155" customFormat="1" ht="30" customHeight="1" x14ac:dyDescent="0.3">
      <c r="A37" s="153"/>
      <c r="B37" s="154" t="s">
        <v>232</v>
      </c>
      <c r="C37" s="290">
        <v>1</v>
      </c>
      <c r="D37" s="289"/>
      <c r="E37" s="150">
        <v>400</v>
      </c>
      <c r="F37" s="194" t="s">
        <v>233</v>
      </c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3"/>
      <c r="FG37" s="153"/>
      <c r="FH37" s="153"/>
      <c r="FI37" s="153"/>
      <c r="FJ37" s="153"/>
      <c r="FK37" s="153"/>
      <c r="FL37" s="153"/>
      <c r="FM37" s="153"/>
      <c r="FN37" s="153"/>
      <c r="FO37" s="153"/>
      <c r="FP37" s="153"/>
      <c r="FQ37" s="153"/>
      <c r="FR37" s="153"/>
      <c r="FS37" s="153"/>
      <c r="FT37" s="153"/>
      <c r="FU37" s="153"/>
      <c r="FV37" s="153"/>
      <c r="FW37" s="153"/>
      <c r="FX37" s="153"/>
      <c r="FY37" s="153"/>
      <c r="FZ37" s="153"/>
      <c r="GA37" s="153"/>
      <c r="GB37" s="153"/>
      <c r="GC37" s="153"/>
      <c r="GD37" s="153"/>
      <c r="GE37" s="153"/>
      <c r="GF37" s="153"/>
      <c r="GG37" s="153"/>
      <c r="GH37" s="153"/>
      <c r="GI37" s="153"/>
      <c r="GJ37" s="153"/>
      <c r="GK37" s="153"/>
      <c r="GL37" s="153"/>
      <c r="GM37" s="153"/>
      <c r="GN37" s="153"/>
      <c r="GO37" s="153"/>
      <c r="GP37" s="153"/>
      <c r="GQ37" s="153"/>
      <c r="GR37" s="153"/>
      <c r="GS37" s="153"/>
      <c r="GT37" s="153"/>
      <c r="GU37" s="153"/>
      <c r="GV37" s="153"/>
      <c r="GW37" s="153"/>
      <c r="GX37" s="153"/>
      <c r="GY37" s="153"/>
      <c r="GZ37" s="153"/>
      <c r="HA37" s="153"/>
      <c r="HB37" s="153"/>
      <c r="HC37" s="153"/>
      <c r="HD37" s="153"/>
      <c r="HE37" s="153"/>
      <c r="HF37" s="153"/>
      <c r="HG37" s="153"/>
      <c r="HH37" s="153"/>
      <c r="HI37" s="153"/>
      <c r="HJ37" s="153"/>
      <c r="HK37" s="153"/>
      <c r="HL37" s="153"/>
      <c r="HM37" s="153"/>
      <c r="HN37" s="153"/>
      <c r="HO37" s="153"/>
      <c r="HP37" s="153"/>
      <c r="HQ37" s="153"/>
      <c r="HR37" s="153"/>
      <c r="HS37" s="153"/>
      <c r="HT37" s="153"/>
      <c r="HU37" s="153"/>
      <c r="HV37" s="153"/>
      <c r="HW37" s="153"/>
      <c r="HX37" s="153"/>
      <c r="HY37" s="153"/>
      <c r="HZ37" s="153"/>
      <c r="IA37" s="153"/>
    </row>
    <row r="38" spans="1:235" s="155" customFormat="1" ht="31.5" customHeight="1" x14ac:dyDescent="0.3">
      <c r="A38" s="153"/>
      <c r="B38" s="214" t="s">
        <v>164</v>
      </c>
      <c r="C38" s="215"/>
      <c r="D38" s="216"/>
      <c r="E38" s="217"/>
      <c r="F38" s="214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  <c r="FF38" s="153"/>
      <c r="FG38" s="153"/>
      <c r="FH38" s="153"/>
      <c r="FI38" s="153"/>
      <c r="FJ38" s="153"/>
      <c r="FK38" s="153"/>
      <c r="FL38" s="153"/>
      <c r="FM38" s="153"/>
      <c r="FN38" s="153"/>
      <c r="FO38" s="153"/>
      <c r="FP38" s="153"/>
      <c r="FQ38" s="153"/>
      <c r="FR38" s="153"/>
      <c r="FS38" s="153"/>
      <c r="FT38" s="153"/>
      <c r="FU38" s="153"/>
      <c r="FV38" s="153"/>
      <c r="FW38" s="153"/>
      <c r="FX38" s="153"/>
      <c r="FY38" s="153"/>
      <c r="FZ38" s="153"/>
      <c r="GA38" s="153"/>
      <c r="GB38" s="153"/>
      <c r="GC38" s="153"/>
      <c r="GD38" s="153"/>
      <c r="GE38" s="153"/>
      <c r="GF38" s="153"/>
      <c r="GG38" s="153"/>
      <c r="GH38" s="153"/>
      <c r="GI38" s="153"/>
      <c r="GJ38" s="153"/>
      <c r="GK38" s="153"/>
      <c r="GL38" s="153"/>
      <c r="GM38" s="153"/>
      <c r="GN38" s="153"/>
      <c r="GO38" s="153"/>
      <c r="GP38" s="153"/>
      <c r="GQ38" s="153"/>
      <c r="GR38" s="153"/>
      <c r="GS38" s="153"/>
      <c r="GT38" s="153"/>
      <c r="GU38" s="153"/>
      <c r="GV38" s="153"/>
      <c r="GW38" s="153"/>
      <c r="GX38" s="153"/>
      <c r="GY38" s="153"/>
      <c r="GZ38" s="153"/>
      <c r="HA38" s="153"/>
      <c r="HB38" s="153"/>
      <c r="HC38" s="153"/>
      <c r="HD38" s="153"/>
      <c r="HE38" s="153"/>
      <c r="HF38" s="153"/>
      <c r="HG38" s="153"/>
      <c r="HH38" s="153"/>
      <c r="HI38" s="153"/>
      <c r="HJ38" s="153"/>
      <c r="HK38" s="153"/>
      <c r="HL38" s="153"/>
      <c r="HM38" s="153"/>
      <c r="HN38" s="153"/>
      <c r="HO38" s="153"/>
      <c r="HP38" s="153"/>
      <c r="HQ38" s="153"/>
      <c r="HR38" s="153"/>
      <c r="HS38" s="153"/>
      <c r="HT38" s="153"/>
      <c r="HU38" s="153"/>
      <c r="HV38" s="153"/>
      <c r="HW38" s="153"/>
      <c r="HX38" s="153"/>
      <c r="HY38" s="153"/>
      <c r="HZ38" s="153"/>
      <c r="IA38" s="153"/>
    </row>
    <row r="39" spans="1:235" s="155" customFormat="1" ht="18.75" customHeight="1" x14ac:dyDescent="0.3">
      <c r="A39" s="153"/>
      <c r="B39" s="158" t="s">
        <v>165</v>
      </c>
      <c r="C39" s="152">
        <v>1</v>
      </c>
      <c r="D39" s="145"/>
      <c r="E39" s="156">
        <v>800</v>
      </c>
      <c r="F39" s="154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3"/>
      <c r="DW39" s="153"/>
      <c r="DX39" s="153"/>
      <c r="DY39" s="153"/>
      <c r="DZ39" s="153"/>
      <c r="EA39" s="153"/>
      <c r="EB39" s="153"/>
      <c r="EC39" s="153"/>
      <c r="ED39" s="153"/>
      <c r="EE39" s="153"/>
      <c r="EF39" s="153"/>
      <c r="EG39" s="153"/>
      <c r="EH39" s="153"/>
      <c r="EI39" s="153"/>
      <c r="EJ39" s="153"/>
      <c r="EK39" s="153"/>
      <c r="EL39" s="153"/>
      <c r="EM39" s="153"/>
      <c r="EN39" s="153"/>
      <c r="EO39" s="153"/>
      <c r="EP39" s="153"/>
      <c r="EQ39" s="153"/>
      <c r="ER39" s="153"/>
      <c r="ES39" s="153"/>
      <c r="ET39" s="153"/>
      <c r="EU39" s="153"/>
      <c r="EV39" s="153"/>
      <c r="EW39" s="153"/>
      <c r="EX39" s="153"/>
      <c r="EY39" s="153"/>
      <c r="EZ39" s="153"/>
      <c r="FA39" s="153"/>
      <c r="FB39" s="153"/>
      <c r="FC39" s="153"/>
      <c r="FD39" s="153"/>
      <c r="FE39" s="153"/>
      <c r="FF39" s="153"/>
      <c r="FG39" s="153"/>
      <c r="FH39" s="153"/>
      <c r="FI39" s="153"/>
      <c r="FJ39" s="153"/>
      <c r="FK39" s="153"/>
      <c r="FL39" s="153"/>
      <c r="FM39" s="153"/>
      <c r="FN39" s="153"/>
      <c r="FO39" s="153"/>
      <c r="FP39" s="153"/>
      <c r="FQ39" s="153"/>
      <c r="FR39" s="153"/>
      <c r="FS39" s="153"/>
      <c r="FT39" s="153"/>
      <c r="FU39" s="153"/>
      <c r="FV39" s="153"/>
      <c r="FW39" s="153"/>
      <c r="FX39" s="153"/>
      <c r="FY39" s="153"/>
      <c r="FZ39" s="153"/>
      <c r="GA39" s="153"/>
      <c r="GB39" s="153"/>
      <c r="GC39" s="153"/>
      <c r="GD39" s="153"/>
      <c r="GE39" s="153"/>
      <c r="GF39" s="153"/>
      <c r="GG39" s="153"/>
      <c r="GH39" s="153"/>
      <c r="GI39" s="153"/>
      <c r="GJ39" s="153"/>
      <c r="GK39" s="153"/>
      <c r="GL39" s="153"/>
      <c r="GM39" s="153"/>
      <c r="GN39" s="153"/>
      <c r="GO39" s="153"/>
      <c r="GP39" s="153"/>
      <c r="GQ39" s="153"/>
      <c r="GR39" s="153"/>
      <c r="GS39" s="153"/>
      <c r="GT39" s="153"/>
      <c r="GU39" s="153"/>
      <c r="GV39" s="153"/>
      <c r="GW39" s="153"/>
      <c r="GX39" s="153"/>
      <c r="GY39" s="153"/>
      <c r="GZ39" s="153"/>
      <c r="HA39" s="153"/>
      <c r="HB39" s="153"/>
      <c r="HC39" s="153"/>
      <c r="HD39" s="153"/>
      <c r="HE39" s="153"/>
      <c r="HF39" s="153"/>
      <c r="HG39" s="153"/>
      <c r="HH39" s="153"/>
      <c r="HI39" s="153"/>
      <c r="HJ39" s="153"/>
      <c r="HK39" s="153"/>
      <c r="HL39" s="153"/>
      <c r="HM39" s="153"/>
      <c r="HN39" s="153"/>
      <c r="HO39" s="153"/>
      <c r="HP39" s="153"/>
      <c r="HQ39" s="153"/>
      <c r="HR39" s="153"/>
      <c r="HS39" s="153"/>
      <c r="HT39" s="153"/>
      <c r="HU39" s="153"/>
      <c r="HV39" s="153"/>
      <c r="HW39" s="153"/>
      <c r="HX39" s="153"/>
      <c r="HY39" s="153"/>
      <c r="HZ39" s="153"/>
      <c r="IA39" s="153"/>
    </row>
    <row r="40" spans="1:235" s="155" customFormat="1" ht="22.5" customHeight="1" x14ac:dyDescent="0.3">
      <c r="A40" s="153"/>
      <c r="B40" s="219" t="s">
        <v>219</v>
      </c>
      <c r="C40" s="209"/>
      <c r="D40" s="213"/>
      <c r="E40" s="210"/>
      <c r="F40" s="288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3"/>
      <c r="DW40" s="153"/>
      <c r="DX40" s="153"/>
      <c r="DY40" s="153"/>
      <c r="DZ40" s="153"/>
      <c r="EA40" s="153"/>
      <c r="EB40" s="153"/>
      <c r="EC40" s="153"/>
      <c r="ED40" s="153"/>
      <c r="EE40" s="153"/>
      <c r="EF40" s="153"/>
      <c r="EG40" s="153"/>
      <c r="EH40" s="153"/>
      <c r="EI40" s="153"/>
      <c r="EJ40" s="153"/>
      <c r="EK40" s="153"/>
      <c r="EL40" s="153"/>
      <c r="EM40" s="153"/>
      <c r="EN40" s="153"/>
      <c r="EO40" s="153"/>
      <c r="EP40" s="153"/>
      <c r="EQ40" s="153"/>
      <c r="ER40" s="153"/>
      <c r="ES40" s="153"/>
      <c r="ET40" s="153"/>
      <c r="EU40" s="153"/>
      <c r="EV40" s="153"/>
      <c r="EW40" s="153"/>
      <c r="EX40" s="153"/>
      <c r="EY40" s="153"/>
      <c r="EZ40" s="153"/>
      <c r="FA40" s="153"/>
      <c r="FB40" s="153"/>
      <c r="FC40" s="153"/>
      <c r="FD40" s="153"/>
      <c r="FE40" s="153"/>
      <c r="FF40" s="153"/>
      <c r="FG40" s="153"/>
      <c r="FH40" s="153"/>
      <c r="FI40" s="153"/>
      <c r="FJ40" s="153"/>
      <c r="FK40" s="153"/>
      <c r="FL40" s="153"/>
      <c r="FM40" s="153"/>
      <c r="FN40" s="153"/>
      <c r="FO40" s="153"/>
      <c r="FP40" s="153"/>
      <c r="FQ40" s="153"/>
      <c r="FR40" s="153"/>
      <c r="FS40" s="153"/>
      <c r="FT40" s="153"/>
      <c r="FU40" s="153"/>
      <c r="FV40" s="153"/>
      <c r="FW40" s="153"/>
      <c r="FX40" s="153"/>
      <c r="FY40" s="153"/>
      <c r="FZ40" s="153"/>
      <c r="GA40" s="153"/>
      <c r="GB40" s="153"/>
      <c r="GC40" s="153"/>
      <c r="GD40" s="153"/>
      <c r="GE40" s="153"/>
      <c r="GF40" s="153"/>
      <c r="GG40" s="153"/>
      <c r="GH40" s="153"/>
      <c r="GI40" s="153"/>
      <c r="GJ40" s="153"/>
      <c r="GK40" s="153"/>
      <c r="GL40" s="153"/>
      <c r="GM40" s="153"/>
      <c r="GN40" s="153"/>
      <c r="GO40" s="153"/>
      <c r="GP40" s="153"/>
      <c r="GQ40" s="153"/>
      <c r="GR40" s="153"/>
      <c r="GS40" s="153"/>
      <c r="GT40" s="153"/>
      <c r="GU40" s="153"/>
      <c r="GV40" s="153"/>
      <c r="GW40" s="153"/>
      <c r="GX40" s="153"/>
      <c r="GY40" s="153"/>
      <c r="GZ40" s="153"/>
      <c r="HA40" s="153"/>
      <c r="HB40" s="153"/>
      <c r="HC40" s="153"/>
      <c r="HD40" s="153"/>
      <c r="HE40" s="153"/>
      <c r="HF40" s="153"/>
      <c r="HG40" s="153"/>
      <c r="HH40" s="153"/>
      <c r="HI40" s="153"/>
      <c r="HJ40" s="153"/>
      <c r="HK40" s="153"/>
      <c r="HL40" s="153"/>
      <c r="HM40" s="153"/>
      <c r="HN40" s="153"/>
      <c r="HO40" s="153"/>
      <c r="HP40" s="153"/>
      <c r="HQ40" s="153"/>
      <c r="HR40" s="153"/>
      <c r="HS40" s="153"/>
      <c r="HT40" s="153"/>
      <c r="HU40" s="153"/>
      <c r="HV40" s="153"/>
      <c r="HW40" s="153"/>
      <c r="HX40" s="153"/>
      <c r="HY40" s="153"/>
      <c r="HZ40" s="153"/>
      <c r="IA40" s="153"/>
    </row>
    <row r="41" spans="1:235" s="155" customFormat="1" ht="18.75" customHeight="1" x14ac:dyDescent="0.3">
      <c r="A41" s="153"/>
      <c r="B41" s="158" t="s">
        <v>220</v>
      </c>
      <c r="C41" s="152">
        <v>1</v>
      </c>
      <c r="D41" s="145"/>
      <c r="E41" s="156">
        <v>1300</v>
      </c>
      <c r="F41" s="154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  <c r="FF41" s="153"/>
      <c r="FG41" s="153"/>
      <c r="FH41" s="153"/>
      <c r="FI41" s="153"/>
      <c r="FJ41" s="153"/>
      <c r="FK41" s="153"/>
      <c r="FL41" s="153"/>
      <c r="FM41" s="153"/>
      <c r="FN41" s="153"/>
      <c r="FO41" s="153"/>
      <c r="FP41" s="153"/>
      <c r="FQ41" s="153"/>
      <c r="FR41" s="153"/>
      <c r="FS41" s="153"/>
      <c r="FT41" s="153"/>
      <c r="FU41" s="153"/>
      <c r="FV41" s="153"/>
      <c r="FW41" s="153"/>
      <c r="FX41" s="153"/>
      <c r="FY41" s="153"/>
      <c r="FZ41" s="153"/>
      <c r="GA41" s="153"/>
      <c r="GB41" s="153"/>
      <c r="GC41" s="153"/>
      <c r="GD41" s="153"/>
      <c r="GE41" s="153"/>
      <c r="GF41" s="153"/>
      <c r="GG41" s="153"/>
      <c r="GH41" s="153"/>
      <c r="GI41" s="153"/>
      <c r="GJ41" s="153"/>
      <c r="GK41" s="153"/>
      <c r="GL41" s="153"/>
      <c r="GM41" s="153"/>
      <c r="GN41" s="153"/>
      <c r="GO41" s="153"/>
      <c r="GP41" s="153"/>
      <c r="GQ41" s="153"/>
      <c r="GR41" s="153"/>
      <c r="GS41" s="153"/>
      <c r="GT41" s="153"/>
      <c r="GU41" s="153"/>
      <c r="GV41" s="153"/>
      <c r="GW41" s="153"/>
      <c r="GX41" s="153"/>
      <c r="GY41" s="153"/>
      <c r="GZ41" s="153"/>
      <c r="HA41" s="153"/>
      <c r="HB41" s="153"/>
      <c r="HC41" s="153"/>
      <c r="HD41" s="153"/>
      <c r="HE41" s="153"/>
      <c r="HF41" s="153"/>
      <c r="HG41" s="153"/>
      <c r="HH41" s="153"/>
      <c r="HI41" s="153"/>
      <c r="HJ41" s="153"/>
      <c r="HK41" s="153"/>
      <c r="HL41" s="153"/>
      <c r="HM41" s="153"/>
      <c r="HN41" s="153"/>
      <c r="HO41" s="153"/>
      <c r="HP41" s="153"/>
      <c r="HQ41" s="153"/>
      <c r="HR41" s="153"/>
      <c r="HS41" s="153"/>
      <c r="HT41" s="153"/>
      <c r="HU41" s="153"/>
      <c r="HV41" s="153"/>
      <c r="HW41" s="153"/>
      <c r="HX41" s="153"/>
      <c r="HY41" s="153"/>
      <c r="HZ41" s="153"/>
      <c r="IA41" s="153"/>
    </row>
    <row r="42" spans="1:235" s="155" customFormat="1" ht="18.75" customHeight="1" x14ac:dyDescent="0.3">
      <c r="A42" s="153"/>
      <c r="B42" s="158" t="s">
        <v>221</v>
      </c>
      <c r="C42" s="152">
        <v>1</v>
      </c>
      <c r="D42" s="145"/>
      <c r="E42" s="156">
        <v>46.86</v>
      </c>
      <c r="F42" s="154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  <c r="FF42" s="153"/>
      <c r="FG42" s="153"/>
      <c r="FH42" s="153"/>
      <c r="FI42" s="153"/>
      <c r="FJ42" s="153"/>
      <c r="FK42" s="153"/>
      <c r="FL42" s="153"/>
      <c r="FM42" s="153"/>
      <c r="FN42" s="153"/>
      <c r="FO42" s="153"/>
      <c r="FP42" s="153"/>
      <c r="FQ42" s="153"/>
      <c r="FR42" s="153"/>
      <c r="FS42" s="153"/>
      <c r="FT42" s="153"/>
      <c r="FU42" s="153"/>
      <c r="FV42" s="153"/>
      <c r="FW42" s="153"/>
      <c r="FX42" s="153"/>
      <c r="FY42" s="153"/>
      <c r="FZ42" s="153"/>
      <c r="GA42" s="153"/>
      <c r="GB42" s="153"/>
      <c r="GC42" s="153"/>
      <c r="GD42" s="153"/>
      <c r="GE42" s="153"/>
      <c r="GF42" s="153"/>
      <c r="GG42" s="153"/>
      <c r="GH42" s="153"/>
      <c r="GI42" s="153"/>
      <c r="GJ42" s="153"/>
      <c r="GK42" s="153"/>
      <c r="GL42" s="153"/>
      <c r="GM42" s="153"/>
      <c r="GN42" s="153"/>
      <c r="GO42" s="153"/>
      <c r="GP42" s="153"/>
      <c r="GQ42" s="153"/>
      <c r="GR42" s="153"/>
      <c r="GS42" s="153"/>
      <c r="GT42" s="153"/>
      <c r="GU42" s="153"/>
      <c r="GV42" s="153"/>
      <c r="GW42" s="153"/>
      <c r="GX42" s="153"/>
      <c r="GY42" s="153"/>
      <c r="GZ42" s="153"/>
      <c r="HA42" s="153"/>
      <c r="HB42" s="153"/>
      <c r="HC42" s="153"/>
      <c r="HD42" s="153"/>
      <c r="HE42" s="153"/>
      <c r="HF42" s="153"/>
      <c r="HG42" s="153"/>
      <c r="HH42" s="153"/>
      <c r="HI42" s="153"/>
      <c r="HJ42" s="153"/>
      <c r="HK42" s="153"/>
      <c r="HL42" s="153"/>
      <c r="HM42" s="153"/>
      <c r="HN42" s="153"/>
      <c r="HO42" s="153"/>
      <c r="HP42" s="153"/>
      <c r="HQ42" s="153"/>
      <c r="HR42" s="153"/>
      <c r="HS42" s="153"/>
      <c r="HT42" s="153"/>
      <c r="HU42" s="153"/>
      <c r="HV42" s="153"/>
      <c r="HW42" s="153"/>
      <c r="HX42" s="153"/>
      <c r="HY42" s="153"/>
      <c r="HZ42" s="153"/>
      <c r="IA42" s="153"/>
    </row>
    <row r="43" spans="1:235" s="155" customFormat="1" ht="30.75" customHeight="1" x14ac:dyDescent="0.3">
      <c r="A43" s="153"/>
      <c r="B43" s="158" t="s">
        <v>222</v>
      </c>
      <c r="C43" s="152">
        <v>1</v>
      </c>
      <c r="D43" s="145"/>
      <c r="E43" s="156">
        <v>68</v>
      </c>
      <c r="F43" s="154" t="s">
        <v>223</v>
      </c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153"/>
      <c r="DO43" s="153"/>
      <c r="DP43" s="153"/>
      <c r="DQ43" s="153"/>
      <c r="DR43" s="153"/>
      <c r="DS43" s="153"/>
      <c r="DT43" s="153"/>
      <c r="DU43" s="153"/>
      <c r="DV43" s="153"/>
      <c r="DW43" s="153"/>
      <c r="DX43" s="153"/>
      <c r="DY43" s="153"/>
      <c r="DZ43" s="153"/>
      <c r="EA43" s="153"/>
      <c r="EB43" s="153"/>
      <c r="EC43" s="153"/>
      <c r="ED43" s="153"/>
      <c r="EE43" s="153"/>
      <c r="EF43" s="153"/>
      <c r="EG43" s="153"/>
      <c r="EH43" s="153"/>
      <c r="EI43" s="153"/>
      <c r="EJ43" s="153"/>
      <c r="EK43" s="153"/>
      <c r="EL43" s="153"/>
      <c r="EM43" s="153"/>
      <c r="EN43" s="153"/>
      <c r="EO43" s="153"/>
      <c r="EP43" s="153"/>
      <c r="EQ43" s="153"/>
      <c r="ER43" s="153"/>
      <c r="ES43" s="153"/>
      <c r="ET43" s="153"/>
      <c r="EU43" s="153"/>
      <c r="EV43" s="153"/>
      <c r="EW43" s="153"/>
      <c r="EX43" s="153"/>
      <c r="EY43" s="153"/>
      <c r="EZ43" s="153"/>
      <c r="FA43" s="153"/>
      <c r="FB43" s="153"/>
      <c r="FC43" s="153"/>
      <c r="FD43" s="153"/>
      <c r="FE43" s="153"/>
      <c r="FF43" s="153"/>
      <c r="FG43" s="153"/>
      <c r="FH43" s="153"/>
      <c r="FI43" s="153"/>
      <c r="FJ43" s="153"/>
      <c r="FK43" s="153"/>
      <c r="FL43" s="153"/>
      <c r="FM43" s="153"/>
      <c r="FN43" s="153"/>
      <c r="FO43" s="153"/>
      <c r="FP43" s="153"/>
      <c r="FQ43" s="153"/>
      <c r="FR43" s="153"/>
      <c r="FS43" s="153"/>
      <c r="FT43" s="153"/>
      <c r="FU43" s="153"/>
      <c r="FV43" s="153"/>
      <c r="FW43" s="153"/>
      <c r="FX43" s="153"/>
      <c r="FY43" s="153"/>
      <c r="FZ43" s="153"/>
      <c r="GA43" s="153"/>
      <c r="GB43" s="153"/>
      <c r="GC43" s="153"/>
      <c r="GD43" s="153"/>
      <c r="GE43" s="153"/>
      <c r="GF43" s="153"/>
      <c r="GG43" s="153"/>
      <c r="GH43" s="153"/>
      <c r="GI43" s="153"/>
      <c r="GJ43" s="153"/>
      <c r="GK43" s="153"/>
      <c r="GL43" s="153"/>
      <c r="GM43" s="153"/>
      <c r="GN43" s="153"/>
      <c r="GO43" s="153"/>
      <c r="GP43" s="153"/>
      <c r="GQ43" s="153"/>
      <c r="GR43" s="153"/>
      <c r="GS43" s="153"/>
      <c r="GT43" s="153"/>
      <c r="GU43" s="153"/>
      <c r="GV43" s="153"/>
      <c r="GW43" s="153"/>
      <c r="GX43" s="153"/>
      <c r="GY43" s="153"/>
      <c r="GZ43" s="153"/>
      <c r="HA43" s="153"/>
      <c r="HB43" s="153"/>
      <c r="HC43" s="153"/>
      <c r="HD43" s="153"/>
      <c r="HE43" s="153"/>
      <c r="HF43" s="153"/>
      <c r="HG43" s="153"/>
      <c r="HH43" s="153"/>
      <c r="HI43" s="153"/>
      <c r="HJ43" s="153"/>
      <c r="HK43" s="153"/>
      <c r="HL43" s="153"/>
      <c r="HM43" s="153"/>
      <c r="HN43" s="153"/>
      <c r="HO43" s="153"/>
      <c r="HP43" s="153"/>
      <c r="HQ43" s="153"/>
      <c r="HR43" s="153"/>
      <c r="HS43" s="153"/>
      <c r="HT43" s="153"/>
      <c r="HU43" s="153"/>
      <c r="HV43" s="153"/>
      <c r="HW43" s="153"/>
      <c r="HX43" s="153"/>
      <c r="HY43" s="153"/>
      <c r="HZ43" s="153"/>
      <c r="IA43" s="153"/>
    </row>
    <row r="44" spans="1:235" s="155" customFormat="1" x14ac:dyDescent="0.3">
      <c r="A44" s="101"/>
      <c r="B44" s="124" t="s">
        <v>12</v>
      </c>
      <c r="C44" s="125"/>
      <c r="D44" s="126"/>
      <c r="E44" s="126">
        <f>SUM(E30:E43)</f>
        <v>34889.53</v>
      </c>
      <c r="F44" s="126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  <c r="GK44" s="101"/>
      <c r="GL44" s="101"/>
      <c r="GM44" s="101"/>
      <c r="GN44" s="101"/>
      <c r="GO44" s="101"/>
      <c r="GP44" s="101"/>
      <c r="GQ44" s="101"/>
      <c r="GR44" s="101"/>
      <c r="GS44" s="101"/>
      <c r="GT44" s="101"/>
      <c r="GU44" s="101"/>
      <c r="GV44" s="101"/>
      <c r="GW44" s="101"/>
      <c r="GX44" s="101"/>
      <c r="GY44" s="101"/>
      <c r="GZ44" s="101"/>
      <c r="HA44" s="101"/>
      <c r="HB44" s="101"/>
      <c r="HC44" s="101"/>
      <c r="HD44" s="101"/>
      <c r="HE44" s="101"/>
      <c r="HF44" s="101"/>
      <c r="HG44" s="101"/>
      <c r="HH44" s="101"/>
      <c r="HI44" s="101"/>
      <c r="HJ44" s="101"/>
      <c r="HK44" s="101"/>
      <c r="HL44" s="101"/>
      <c r="HM44" s="101"/>
      <c r="HN44" s="101"/>
      <c r="HO44" s="101"/>
      <c r="HP44" s="101"/>
      <c r="HQ44" s="101"/>
      <c r="HR44" s="101"/>
      <c r="HS44" s="101"/>
      <c r="HT44" s="101"/>
      <c r="HU44" s="101"/>
      <c r="HV44" s="101"/>
      <c r="HW44" s="101"/>
      <c r="HX44" s="101"/>
      <c r="HY44" s="101"/>
      <c r="HZ44" s="101"/>
      <c r="IA44" s="101"/>
    </row>
    <row r="45" spans="1:235" s="155" customFormat="1" x14ac:dyDescent="0.3">
      <c r="A45" s="143"/>
      <c r="B45" s="158" t="s">
        <v>195</v>
      </c>
      <c r="C45" s="159"/>
      <c r="D45" s="159"/>
      <c r="E45" s="159"/>
      <c r="F45" s="160">
        <f>484*6+432.75*2.5+391+391*5.5</f>
        <v>6527.375</v>
      </c>
      <c r="G45" s="161"/>
      <c r="H45" s="162"/>
      <c r="I45" s="162"/>
      <c r="J45" s="163"/>
      <c r="K45" s="197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43"/>
      <c r="EE45" s="143"/>
      <c r="EF45" s="143"/>
      <c r="EG45" s="143"/>
      <c r="EH45" s="143"/>
      <c r="EI45" s="143"/>
      <c r="EJ45" s="143"/>
      <c r="EK45" s="143"/>
      <c r="EL45" s="143"/>
      <c r="EM45" s="143"/>
      <c r="EN45" s="143"/>
      <c r="EO45" s="143"/>
      <c r="EP45" s="143"/>
      <c r="EQ45" s="143"/>
      <c r="ER45" s="143"/>
      <c r="ES45" s="143"/>
      <c r="ET45" s="143"/>
      <c r="EU45" s="143"/>
      <c r="EV45" s="143"/>
      <c r="EW45" s="143"/>
      <c r="EX45" s="143"/>
      <c r="EY45" s="143"/>
      <c r="EZ45" s="143"/>
      <c r="FA45" s="143"/>
      <c r="FB45" s="143"/>
      <c r="FC45" s="143"/>
      <c r="FD45" s="143"/>
      <c r="FE45" s="143"/>
      <c r="FF45" s="143"/>
      <c r="FG45" s="143"/>
      <c r="FH45" s="143"/>
      <c r="FI45" s="143"/>
      <c r="FJ45" s="143"/>
      <c r="FK45" s="143"/>
      <c r="FL45" s="143"/>
      <c r="FM45" s="143"/>
      <c r="FN45" s="143"/>
      <c r="FO45" s="143"/>
      <c r="FP45" s="143"/>
      <c r="FQ45" s="143"/>
      <c r="FR45" s="143"/>
      <c r="FS45" s="143"/>
      <c r="FT45" s="143"/>
      <c r="FU45" s="143"/>
      <c r="FV45" s="143"/>
      <c r="FW45" s="143"/>
      <c r="FX45" s="143"/>
      <c r="FY45" s="143"/>
      <c r="FZ45" s="143"/>
      <c r="GA45" s="143"/>
      <c r="GB45" s="143"/>
      <c r="GC45" s="143"/>
      <c r="GD45" s="143"/>
      <c r="GE45" s="143"/>
      <c r="GF45" s="143"/>
      <c r="GG45" s="143"/>
      <c r="GH45" s="143"/>
      <c r="GI45" s="143"/>
      <c r="GJ45" s="143"/>
      <c r="GK45" s="143"/>
      <c r="GL45" s="143"/>
      <c r="GM45" s="143"/>
      <c r="GN45" s="143"/>
      <c r="GO45" s="143"/>
      <c r="GP45" s="143"/>
      <c r="GQ45" s="143"/>
      <c r="GR45" s="143"/>
      <c r="GS45" s="143"/>
      <c r="GT45" s="143"/>
      <c r="GU45" s="143"/>
      <c r="GV45" s="143"/>
      <c r="GW45" s="143"/>
      <c r="GX45" s="143"/>
      <c r="GY45" s="143"/>
      <c r="GZ45" s="143"/>
      <c r="HA45" s="143"/>
      <c r="HB45" s="143"/>
      <c r="HC45" s="143"/>
      <c r="HD45" s="143"/>
      <c r="HE45" s="143"/>
      <c r="HF45" s="143"/>
      <c r="HG45" s="143"/>
      <c r="HH45" s="143"/>
      <c r="HI45" s="143"/>
      <c r="HJ45" s="143"/>
      <c r="HK45" s="143"/>
      <c r="HL45" s="143"/>
      <c r="HM45" s="143"/>
      <c r="HN45" s="143"/>
      <c r="HO45" s="143"/>
      <c r="HP45" s="143"/>
      <c r="HQ45" s="143"/>
      <c r="HR45" s="143"/>
      <c r="HS45" s="143"/>
      <c r="HT45" s="143"/>
      <c r="HU45" s="143"/>
      <c r="HV45" s="143"/>
      <c r="HW45" s="143"/>
      <c r="HX45" s="143"/>
      <c r="HY45" s="143"/>
      <c r="HZ45" s="143"/>
      <c r="IA45" s="143"/>
    </row>
    <row r="46" spans="1:235" s="155" customFormat="1" x14ac:dyDescent="0.3">
      <c r="A46" s="164"/>
      <c r="B46" s="165" t="s">
        <v>194</v>
      </c>
      <c r="C46" s="166">
        <v>0.05</v>
      </c>
      <c r="D46" s="167"/>
      <c r="E46" s="168"/>
      <c r="F46" s="169">
        <f>(F47-F45)*C46</f>
        <v>9515.8124999999982</v>
      </c>
      <c r="G46" s="161"/>
      <c r="H46" s="170"/>
      <c r="I46" s="170"/>
      <c r="J46" s="170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  <c r="DU46" s="164"/>
      <c r="DV46" s="164"/>
      <c r="DW46" s="164"/>
      <c r="DX46" s="164"/>
      <c r="DY46" s="164"/>
      <c r="DZ46" s="164"/>
      <c r="EA46" s="164"/>
      <c r="EB46" s="164"/>
      <c r="EC46" s="164"/>
      <c r="ED46" s="164"/>
      <c r="EE46" s="164"/>
      <c r="EF46" s="164"/>
      <c r="EG46" s="164"/>
      <c r="EH46" s="164"/>
      <c r="EI46" s="164"/>
      <c r="EJ46" s="164"/>
      <c r="EK46" s="164"/>
      <c r="EL46" s="164"/>
      <c r="EM46" s="164"/>
      <c r="EN46" s="164"/>
      <c r="EO46" s="164"/>
      <c r="EP46" s="164"/>
      <c r="EQ46" s="164"/>
      <c r="ER46" s="164"/>
      <c r="ES46" s="164"/>
      <c r="ET46" s="164"/>
      <c r="EU46" s="164"/>
      <c r="EV46" s="164"/>
      <c r="EW46" s="164"/>
      <c r="EX46" s="164"/>
      <c r="EY46" s="164"/>
      <c r="EZ46" s="164"/>
      <c r="FA46" s="164"/>
      <c r="FB46" s="164"/>
      <c r="FC46" s="164"/>
      <c r="FD46" s="164"/>
      <c r="FE46" s="164"/>
      <c r="FF46" s="164"/>
      <c r="FG46" s="164"/>
      <c r="FH46" s="164"/>
      <c r="FI46" s="164"/>
      <c r="FJ46" s="164"/>
      <c r="FK46" s="164"/>
      <c r="FL46" s="164"/>
      <c r="FM46" s="164"/>
      <c r="FN46" s="164"/>
      <c r="FO46" s="164"/>
      <c r="FP46" s="164"/>
      <c r="FQ46" s="164"/>
      <c r="FR46" s="164"/>
      <c r="FS46" s="164"/>
      <c r="FT46" s="164"/>
      <c r="FU46" s="164"/>
      <c r="FV46" s="164"/>
      <c r="FW46" s="164"/>
      <c r="FX46" s="164"/>
      <c r="FY46" s="164"/>
      <c r="FZ46" s="164"/>
      <c r="GA46" s="164"/>
      <c r="GB46" s="164"/>
      <c r="GC46" s="164"/>
      <c r="GD46" s="164"/>
      <c r="GE46" s="164"/>
      <c r="GF46" s="164"/>
      <c r="GG46" s="164"/>
      <c r="GH46" s="164"/>
      <c r="GI46" s="164"/>
      <c r="GJ46" s="164"/>
      <c r="GK46" s="164"/>
      <c r="GL46" s="164"/>
      <c r="GM46" s="164"/>
      <c r="GN46" s="164"/>
      <c r="GO46" s="164"/>
      <c r="GP46" s="164"/>
      <c r="GQ46" s="164"/>
      <c r="GR46" s="164"/>
      <c r="GS46" s="164"/>
      <c r="GT46" s="164"/>
      <c r="GU46" s="164"/>
      <c r="GV46" s="164"/>
      <c r="GW46" s="164"/>
      <c r="GX46" s="164"/>
      <c r="GY46" s="164"/>
      <c r="GZ46" s="164"/>
      <c r="HA46" s="164"/>
      <c r="HB46" s="164"/>
      <c r="HC46" s="164"/>
      <c r="HD46" s="164"/>
      <c r="HE46" s="164"/>
      <c r="HF46" s="164"/>
      <c r="HG46" s="164"/>
      <c r="HH46" s="164"/>
      <c r="HI46" s="164"/>
      <c r="HJ46" s="164"/>
      <c r="HK46" s="164"/>
      <c r="HL46" s="164"/>
      <c r="HM46" s="164"/>
      <c r="HN46" s="164"/>
      <c r="HO46" s="164"/>
      <c r="HP46" s="164"/>
      <c r="HQ46" s="164"/>
      <c r="HR46" s="164"/>
      <c r="HS46" s="164"/>
      <c r="HT46" s="164"/>
      <c r="HU46" s="164"/>
      <c r="HV46" s="164"/>
      <c r="HW46" s="164"/>
      <c r="HX46" s="164"/>
      <c r="HY46" s="164"/>
      <c r="HZ46" s="164"/>
      <c r="IA46" s="164"/>
    </row>
    <row r="47" spans="1:235" s="155" customFormat="1" x14ac:dyDescent="0.3">
      <c r="A47" s="101"/>
      <c r="B47" s="171" t="s">
        <v>22</v>
      </c>
      <c r="C47" s="172"/>
      <c r="D47" s="172"/>
      <c r="E47" s="173"/>
      <c r="F47" s="173">
        <f>F15+F27+E44+F45</f>
        <v>196843.62499999997</v>
      </c>
      <c r="G47" s="103"/>
      <c r="H47" s="103"/>
      <c r="I47" s="103"/>
      <c r="J47" s="103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101"/>
      <c r="FP47" s="101"/>
      <c r="FQ47" s="101"/>
      <c r="FR47" s="101"/>
      <c r="FS47" s="101"/>
      <c r="FT47" s="101"/>
      <c r="FU47" s="101"/>
      <c r="FV47" s="101"/>
      <c r="FW47" s="101"/>
      <c r="FX47" s="101"/>
      <c r="FY47" s="101"/>
      <c r="FZ47" s="101"/>
      <c r="GA47" s="101"/>
      <c r="GB47" s="101"/>
      <c r="GC47" s="101"/>
      <c r="GD47" s="101"/>
      <c r="GE47" s="101"/>
      <c r="GF47" s="101"/>
      <c r="GG47" s="101"/>
      <c r="GH47" s="101"/>
      <c r="GI47" s="101"/>
      <c r="GJ47" s="101"/>
      <c r="GK47" s="101"/>
      <c r="GL47" s="101"/>
      <c r="GM47" s="101"/>
      <c r="GN47" s="101"/>
      <c r="GO47" s="101"/>
      <c r="GP47" s="101"/>
      <c r="GQ47" s="101"/>
      <c r="GR47" s="101"/>
      <c r="GS47" s="101"/>
      <c r="GT47" s="101"/>
      <c r="GU47" s="101"/>
      <c r="GV47" s="101"/>
      <c r="GW47" s="101"/>
      <c r="GX47" s="101"/>
      <c r="GY47" s="101"/>
      <c r="GZ47" s="101"/>
      <c r="HA47" s="101"/>
      <c r="HB47" s="101"/>
      <c r="HC47" s="101"/>
      <c r="HD47" s="101"/>
      <c r="HE47" s="101"/>
      <c r="HF47" s="101"/>
      <c r="HG47" s="101"/>
      <c r="HH47" s="101"/>
      <c r="HI47" s="101"/>
      <c r="HJ47" s="101"/>
      <c r="HK47" s="101"/>
      <c r="HL47" s="101"/>
      <c r="HM47" s="101"/>
      <c r="HN47" s="101"/>
      <c r="HO47" s="101"/>
      <c r="HP47" s="101"/>
      <c r="HQ47" s="101"/>
      <c r="HR47" s="101"/>
      <c r="HS47" s="101"/>
      <c r="HT47" s="101"/>
      <c r="HU47" s="101"/>
      <c r="HV47" s="101"/>
      <c r="HW47" s="101"/>
      <c r="HX47" s="101"/>
      <c r="HY47" s="101"/>
      <c r="HZ47" s="101"/>
      <c r="IA47" s="101"/>
    </row>
    <row r="48" spans="1:235" s="155" customFormat="1" x14ac:dyDescent="0.3">
      <c r="A48" s="101"/>
      <c r="B48" s="299" t="s">
        <v>234</v>
      </c>
      <c r="C48" s="172"/>
      <c r="D48" s="172"/>
      <c r="E48" s="173"/>
      <c r="F48" s="173"/>
      <c r="G48" s="103"/>
      <c r="H48" s="103"/>
      <c r="I48" s="103"/>
      <c r="J48" s="103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1"/>
      <c r="FK48" s="101"/>
      <c r="FL48" s="101"/>
      <c r="FM48" s="101"/>
      <c r="FN48" s="101"/>
      <c r="FO48" s="101"/>
      <c r="FP48" s="101"/>
      <c r="FQ48" s="101"/>
      <c r="FR48" s="101"/>
      <c r="FS48" s="101"/>
      <c r="FT48" s="101"/>
      <c r="FU48" s="101"/>
      <c r="FV48" s="101"/>
      <c r="FW48" s="101"/>
      <c r="FX48" s="101"/>
      <c r="FY48" s="101"/>
      <c r="FZ48" s="101"/>
      <c r="GA48" s="101"/>
      <c r="GB48" s="101"/>
      <c r="GC48" s="101"/>
      <c r="GD48" s="101"/>
      <c r="GE48" s="101"/>
      <c r="GF48" s="101"/>
      <c r="GG48" s="101"/>
      <c r="GH48" s="101"/>
      <c r="GI48" s="101"/>
      <c r="GJ48" s="101"/>
      <c r="GK48" s="101"/>
      <c r="GL48" s="101"/>
      <c r="GM48" s="101"/>
      <c r="GN48" s="101"/>
      <c r="GO48" s="101"/>
      <c r="GP48" s="101"/>
      <c r="GQ48" s="101"/>
      <c r="GR48" s="101"/>
      <c r="GS48" s="101"/>
      <c r="GT48" s="101"/>
      <c r="GU48" s="101"/>
      <c r="GV48" s="101"/>
      <c r="GW48" s="101"/>
      <c r="GX48" s="101"/>
      <c r="GY48" s="101"/>
      <c r="GZ48" s="101"/>
      <c r="HA48" s="101"/>
      <c r="HB48" s="101"/>
      <c r="HC48" s="101"/>
      <c r="HD48" s="101"/>
      <c r="HE48" s="101"/>
      <c r="HF48" s="101"/>
      <c r="HG48" s="101"/>
      <c r="HH48" s="101"/>
      <c r="HI48" s="101"/>
      <c r="HJ48" s="101"/>
      <c r="HK48" s="101"/>
      <c r="HL48" s="101"/>
      <c r="HM48" s="101"/>
      <c r="HN48" s="101"/>
      <c r="HO48" s="101"/>
      <c r="HP48" s="101"/>
      <c r="HQ48" s="101"/>
      <c r="HR48" s="101"/>
      <c r="HS48" s="101"/>
      <c r="HT48" s="101"/>
      <c r="HU48" s="101"/>
      <c r="HV48" s="101"/>
      <c r="HW48" s="101"/>
      <c r="HX48" s="101"/>
      <c r="HY48" s="101"/>
      <c r="HZ48" s="101"/>
      <c r="IA48" s="101"/>
    </row>
    <row r="49" spans="1:235" s="155" customFormat="1" x14ac:dyDescent="0.3">
      <c r="A49" s="164"/>
      <c r="B49" s="165" t="s">
        <v>226</v>
      </c>
      <c r="C49" s="292"/>
      <c r="D49" s="169">
        <f>(F27+E44+432.75*2.5+391+391*5.5+F46)/12</f>
        <v>10793.364791666667</v>
      </c>
      <c r="E49" s="293"/>
      <c r="F49" s="169"/>
      <c r="G49" s="291"/>
      <c r="H49" s="170"/>
      <c r="I49" s="170"/>
      <c r="J49" s="170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4"/>
      <c r="EJ49" s="164"/>
      <c r="EK49" s="164"/>
      <c r="EL49" s="164"/>
      <c r="EM49" s="164"/>
      <c r="EN49" s="164"/>
      <c r="EO49" s="164"/>
      <c r="EP49" s="164"/>
      <c r="EQ49" s="164"/>
      <c r="ER49" s="164"/>
      <c r="ES49" s="164"/>
      <c r="ET49" s="164"/>
      <c r="EU49" s="164"/>
      <c r="EV49" s="164"/>
      <c r="EW49" s="164"/>
      <c r="EX49" s="164"/>
      <c r="EY49" s="164"/>
      <c r="EZ49" s="164"/>
      <c r="FA49" s="164"/>
      <c r="FB49" s="164"/>
      <c r="FC49" s="164"/>
      <c r="FD49" s="164"/>
      <c r="FE49" s="164"/>
      <c r="FF49" s="164"/>
      <c r="FG49" s="164"/>
      <c r="FH49" s="164"/>
      <c r="FI49" s="164"/>
      <c r="FJ49" s="164"/>
      <c r="FK49" s="164"/>
      <c r="FL49" s="164"/>
      <c r="FM49" s="164"/>
      <c r="FN49" s="164"/>
      <c r="FO49" s="164"/>
      <c r="FP49" s="164"/>
      <c r="FQ49" s="164"/>
      <c r="FR49" s="164"/>
      <c r="FS49" s="164"/>
      <c r="FT49" s="164"/>
      <c r="FU49" s="164"/>
      <c r="FV49" s="164"/>
      <c r="FW49" s="164"/>
      <c r="FX49" s="164"/>
      <c r="FY49" s="164"/>
      <c r="FZ49" s="164"/>
      <c r="GA49" s="164"/>
      <c r="GB49" s="164"/>
      <c r="GC49" s="164"/>
      <c r="GD49" s="164"/>
      <c r="GE49" s="164"/>
      <c r="GF49" s="164"/>
      <c r="GG49" s="164"/>
      <c r="GH49" s="164"/>
      <c r="GI49" s="164"/>
      <c r="GJ49" s="164"/>
      <c r="GK49" s="164"/>
      <c r="GL49" s="164"/>
      <c r="GM49" s="164"/>
      <c r="GN49" s="164"/>
      <c r="GO49" s="164"/>
      <c r="GP49" s="164"/>
      <c r="GQ49" s="164"/>
      <c r="GR49" s="164"/>
      <c r="GS49" s="164"/>
      <c r="GT49" s="164"/>
      <c r="GU49" s="164"/>
      <c r="GV49" s="164"/>
      <c r="GW49" s="164"/>
      <c r="GX49" s="164"/>
      <c r="GY49" s="164"/>
      <c r="GZ49" s="164"/>
      <c r="HA49" s="164"/>
      <c r="HB49" s="164"/>
      <c r="HC49" s="164"/>
      <c r="HD49" s="164"/>
      <c r="HE49" s="164"/>
      <c r="HF49" s="164"/>
      <c r="HG49" s="164"/>
      <c r="HH49" s="164"/>
      <c r="HI49" s="164"/>
      <c r="HJ49" s="164"/>
      <c r="HK49" s="164"/>
      <c r="HL49" s="164"/>
      <c r="HM49" s="164"/>
      <c r="HN49" s="164"/>
      <c r="HO49" s="164"/>
      <c r="HP49" s="164"/>
      <c r="HQ49" s="164"/>
      <c r="HR49" s="164"/>
      <c r="HS49" s="164"/>
      <c r="HT49" s="164"/>
      <c r="HU49" s="164"/>
      <c r="HV49" s="164"/>
      <c r="HW49" s="164"/>
      <c r="HX49" s="164"/>
      <c r="HY49" s="164"/>
      <c r="HZ49" s="164"/>
      <c r="IA49" s="164"/>
    </row>
    <row r="50" spans="1:235" s="155" customFormat="1" x14ac:dyDescent="0.3">
      <c r="A50" s="164"/>
      <c r="B50" s="165" t="s">
        <v>26</v>
      </c>
      <c r="C50" s="292"/>
      <c r="D50" s="169">
        <f>(F15-F14+484*6)/12</f>
        <v>6186.8999999999987</v>
      </c>
      <c r="E50" s="293"/>
      <c r="F50" s="169"/>
      <c r="G50" s="291"/>
      <c r="H50" s="170"/>
      <c r="I50" s="170"/>
      <c r="J50" s="170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64"/>
      <c r="DF50" s="164"/>
      <c r="DG50" s="164"/>
      <c r="DH50" s="164"/>
      <c r="DI50" s="164"/>
      <c r="DJ50" s="164"/>
      <c r="DK50" s="164"/>
      <c r="DL50" s="164"/>
      <c r="DM50" s="164"/>
      <c r="DN50" s="164"/>
      <c r="DO50" s="164"/>
      <c r="DP50" s="164"/>
      <c r="DQ50" s="164"/>
      <c r="DR50" s="164"/>
      <c r="DS50" s="164"/>
      <c r="DT50" s="164"/>
      <c r="DU50" s="164"/>
      <c r="DV50" s="164"/>
      <c r="DW50" s="164"/>
      <c r="DX50" s="164"/>
      <c r="DY50" s="164"/>
      <c r="DZ50" s="164"/>
      <c r="EA50" s="164"/>
      <c r="EB50" s="164"/>
      <c r="EC50" s="164"/>
      <c r="ED50" s="164"/>
      <c r="EE50" s="164"/>
      <c r="EF50" s="164"/>
      <c r="EG50" s="164"/>
      <c r="EH50" s="164"/>
      <c r="EI50" s="164"/>
      <c r="EJ50" s="164"/>
      <c r="EK50" s="164"/>
      <c r="EL50" s="164"/>
      <c r="EM50" s="164"/>
      <c r="EN50" s="164"/>
      <c r="EO50" s="164"/>
      <c r="EP50" s="164"/>
      <c r="EQ50" s="164"/>
      <c r="ER50" s="164"/>
      <c r="ES50" s="164"/>
      <c r="ET50" s="164"/>
      <c r="EU50" s="164"/>
      <c r="EV50" s="164"/>
      <c r="EW50" s="164"/>
      <c r="EX50" s="164"/>
      <c r="EY50" s="164"/>
      <c r="EZ50" s="164"/>
      <c r="FA50" s="164"/>
      <c r="FB50" s="164"/>
      <c r="FC50" s="164"/>
      <c r="FD50" s="164"/>
      <c r="FE50" s="164"/>
      <c r="FF50" s="164"/>
      <c r="FG50" s="164"/>
      <c r="FH50" s="164"/>
      <c r="FI50" s="164"/>
      <c r="FJ50" s="164"/>
      <c r="FK50" s="164"/>
      <c r="FL50" s="164"/>
      <c r="FM50" s="164"/>
      <c r="FN50" s="164"/>
      <c r="FO50" s="164"/>
      <c r="FP50" s="164"/>
      <c r="FQ50" s="164"/>
      <c r="FR50" s="164"/>
      <c r="FS50" s="164"/>
      <c r="FT50" s="164"/>
      <c r="FU50" s="164"/>
      <c r="FV50" s="164"/>
      <c r="FW50" s="164"/>
      <c r="FX50" s="164"/>
      <c r="FY50" s="164"/>
      <c r="FZ50" s="164"/>
      <c r="GA50" s="164"/>
      <c r="GB50" s="164"/>
      <c r="GC50" s="164"/>
      <c r="GD50" s="164"/>
      <c r="GE50" s="164"/>
      <c r="GF50" s="164"/>
      <c r="GG50" s="164"/>
      <c r="GH50" s="164"/>
      <c r="GI50" s="164"/>
      <c r="GJ50" s="164"/>
      <c r="GK50" s="164"/>
      <c r="GL50" s="164"/>
      <c r="GM50" s="164"/>
      <c r="GN50" s="164"/>
      <c r="GO50" s="164"/>
      <c r="GP50" s="164"/>
      <c r="GQ50" s="164"/>
      <c r="GR50" s="164"/>
      <c r="GS50" s="164"/>
      <c r="GT50" s="164"/>
      <c r="GU50" s="164"/>
      <c r="GV50" s="164"/>
      <c r="GW50" s="164"/>
      <c r="GX50" s="164"/>
      <c r="GY50" s="164"/>
      <c r="GZ50" s="164"/>
      <c r="HA50" s="164"/>
      <c r="HB50" s="164"/>
      <c r="HC50" s="164"/>
      <c r="HD50" s="164"/>
      <c r="HE50" s="164"/>
      <c r="HF50" s="164"/>
      <c r="HG50" s="164"/>
      <c r="HH50" s="164"/>
      <c r="HI50" s="164"/>
      <c r="HJ50" s="164"/>
      <c r="HK50" s="164"/>
      <c r="HL50" s="164"/>
      <c r="HM50" s="164"/>
      <c r="HN50" s="164"/>
      <c r="HO50" s="164"/>
      <c r="HP50" s="164"/>
      <c r="HQ50" s="164"/>
      <c r="HR50" s="164"/>
      <c r="HS50" s="164"/>
      <c r="HT50" s="164"/>
      <c r="HU50" s="164"/>
      <c r="HV50" s="164"/>
      <c r="HW50" s="164"/>
      <c r="HX50" s="164"/>
      <c r="HY50" s="164"/>
      <c r="HZ50" s="164"/>
      <c r="IA50" s="164"/>
    </row>
    <row r="51" spans="1:235" s="155" customFormat="1" x14ac:dyDescent="0.3">
      <c r="A51" s="164"/>
      <c r="B51" s="165" t="s">
        <v>231</v>
      </c>
      <c r="C51" s="292"/>
      <c r="D51" s="169">
        <f>F14/12</f>
        <v>216.35500000000002</v>
      </c>
      <c r="E51" s="293"/>
      <c r="F51" s="169"/>
      <c r="G51" s="291"/>
      <c r="H51" s="170"/>
      <c r="I51" s="170"/>
      <c r="J51" s="170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4"/>
      <c r="EG51" s="164"/>
      <c r="EH51" s="164"/>
      <c r="EI51" s="164"/>
      <c r="EJ51" s="164"/>
      <c r="EK51" s="164"/>
      <c r="EL51" s="164"/>
      <c r="EM51" s="164"/>
      <c r="EN51" s="164"/>
      <c r="EO51" s="164"/>
      <c r="EP51" s="164"/>
      <c r="EQ51" s="164"/>
      <c r="ER51" s="164"/>
      <c r="ES51" s="164"/>
      <c r="ET51" s="164"/>
      <c r="EU51" s="164"/>
      <c r="EV51" s="164"/>
      <c r="EW51" s="164"/>
      <c r="EX51" s="164"/>
      <c r="EY51" s="164"/>
      <c r="EZ51" s="164"/>
      <c r="FA51" s="164"/>
      <c r="FB51" s="164"/>
      <c r="FC51" s="164"/>
      <c r="FD51" s="164"/>
      <c r="FE51" s="164"/>
      <c r="FF51" s="164"/>
      <c r="FG51" s="164"/>
      <c r="FH51" s="164"/>
      <c r="FI51" s="164"/>
      <c r="FJ51" s="164"/>
      <c r="FK51" s="164"/>
      <c r="FL51" s="164"/>
      <c r="FM51" s="164"/>
      <c r="FN51" s="164"/>
      <c r="FO51" s="164"/>
      <c r="FP51" s="164"/>
      <c r="FQ51" s="164"/>
      <c r="FR51" s="164"/>
      <c r="FS51" s="164"/>
      <c r="FT51" s="164"/>
      <c r="FU51" s="164"/>
      <c r="FV51" s="164"/>
      <c r="FW51" s="164"/>
      <c r="FX51" s="164"/>
      <c r="FY51" s="164"/>
      <c r="FZ51" s="164"/>
      <c r="GA51" s="164"/>
      <c r="GB51" s="164"/>
      <c r="GC51" s="164"/>
      <c r="GD51" s="164"/>
      <c r="GE51" s="164"/>
      <c r="GF51" s="164"/>
      <c r="GG51" s="164"/>
      <c r="GH51" s="164"/>
      <c r="GI51" s="164"/>
      <c r="GJ51" s="164"/>
      <c r="GK51" s="164"/>
      <c r="GL51" s="164"/>
      <c r="GM51" s="164"/>
      <c r="GN51" s="164"/>
      <c r="GO51" s="164"/>
      <c r="GP51" s="164"/>
      <c r="GQ51" s="164"/>
      <c r="GR51" s="164"/>
      <c r="GS51" s="164"/>
      <c r="GT51" s="164"/>
      <c r="GU51" s="164"/>
      <c r="GV51" s="164"/>
      <c r="GW51" s="164"/>
      <c r="GX51" s="164"/>
      <c r="GY51" s="164"/>
      <c r="GZ51" s="164"/>
      <c r="HA51" s="164"/>
      <c r="HB51" s="164"/>
      <c r="HC51" s="164"/>
      <c r="HD51" s="164"/>
      <c r="HE51" s="164"/>
      <c r="HF51" s="164"/>
      <c r="HG51" s="164"/>
      <c r="HH51" s="164"/>
      <c r="HI51" s="164"/>
      <c r="HJ51" s="164"/>
      <c r="HK51" s="164"/>
      <c r="HL51" s="164"/>
      <c r="HM51" s="164"/>
      <c r="HN51" s="164"/>
      <c r="HO51" s="164"/>
      <c r="HP51" s="164"/>
      <c r="HQ51" s="164"/>
      <c r="HR51" s="164"/>
      <c r="HS51" s="164"/>
      <c r="HT51" s="164"/>
      <c r="HU51" s="164"/>
      <c r="HV51" s="164"/>
      <c r="HW51" s="164"/>
      <c r="HX51" s="164"/>
      <c r="HY51" s="164"/>
      <c r="HZ51" s="164"/>
      <c r="IA51" s="164"/>
    </row>
    <row r="52" spans="1:235" s="155" customFormat="1" ht="18" x14ac:dyDescent="0.35">
      <c r="A52" s="101"/>
      <c r="B52" s="225" t="s">
        <v>23</v>
      </c>
      <c r="C52" s="298"/>
      <c r="D52" s="227">
        <f>F52/12</f>
        <v>17196.619791666664</v>
      </c>
      <c r="E52" s="298"/>
      <c r="F52" s="228">
        <f>F47+F46</f>
        <v>206359.43749999997</v>
      </c>
      <c r="G52" s="103"/>
      <c r="H52" s="103"/>
      <c r="I52" s="103"/>
      <c r="J52" s="103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101"/>
      <c r="GP52" s="101"/>
      <c r="GQ52" s="101"/>
      <c r="GR52" s="101"/>
      <c r="GS52" s="101"/>
      <c r="GT52" s="101"/>
      <c r="GU52" s="101"/>
      <c r="GV52" s="101"/>
      <c r="GW52" s="101"/>
      <c r="GX52" s="101"/>
      <c r="GY52" s="101"/>
      <c r="GZ52" s="101"/>
      <c r="HA52" s="101"/>
      <c r="HB52" s="101"/>
      <c r="HC52" s="101"/>
      <c r="HD52" s="101"/>
      <c r="HE52" s="101"/>
      <c r="HF52" s="101"/>
      <c r="HG52" s="101"/>
      <c r="HH52" s="101"/>
      <c r="HI52" s="101"/>
      <c r="HJ52" s="101"/>
      <c r="HK52" s="101"/>
      <c r="HL52" s="101"/>
      <c r="HM52" s="101"/>
      <c r="HN52" s="101"/>
      <c r="HO52" s="101"/>
      <c r="HP52" s="101"/>
      <c r="HQ52" s="101"/>
      <c r="HR52" s="101"/>
      <c r="HS52" s="101"/>
      <c r="HT52" s="101"/>
      <c r="HU52" s="101"/>
      <c r="HV52" s="101"/>
      <c r="HW52" s="101"/>
      <c r="HX52" s="101"/>
      <c r="HY52" s="101"/>
      <c r="HZ52" s="101"/>
      <c r="IA52" s="101"/>
    </row>
    <row r="53" spans="1:235" s="155" customFormat="1" ht="20.399999999999999" x14ac:dyDescent="0.35">
      <c r="A53" s="207" t="s">
        <v>159</v>
      </c>
      <c r="B53" s="223" t="s">
        <v>196</v>
      </c>
      <c r="C53" s="174"/>
      <c r="D53" s="198"/>
      <c r="E53" s="174"/>
      <c r="F53" s="229" t="s">
        <v>216</v>
      </c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1"/>
      <c r="FB53" s="101"/>
      <c r="FC53" s="101"/>
      <c r="FD53" s="101"/>
      <c r="FE53" s="101"/>
      <c r="FF53" s="101"/>
      <c r="FG53" s="101"/>
      <c r="FH53" s="101"/>
      <c r="FI53" s="101"/>
      <c r="FJ53" s="101"/>
      <c r="FK53" s="101"/>
      <c r="FL53" s="101"/>
      <c r="FM53" s="101"/>
      <c r="FN53" s="101"/>
      <c r="FO53" s="101"/>
      <c r="FP53" s="101"/>
      <c r="FQ53" s="101"/>
      <c r="FR53" s="101"/>
      <c r="FS53" s="101"/>
      <c r="FT53" s="101"/>
      <c r="FU53" s="101"/>
      <c r="FV53" s="101"/>
      <c r="FW53" s="101"/>
      <c r="FX53" s="101"/>
      <c r="FY53" s="101"/>
      <c r="FZ53" s="101"/>
      <c r="GA53" s="101"/>
      <c r="GB53" s="101"/>
      <c r="GC53" s="101"/>
      <c r="GD53" s="101"/>
      <c r="GE53" s="101"/>
      <c r="GF53" s="101"/>
      <c r="GG53" s="101"/>
      <c r="GH53" s="101"/>
      <c r="GI53" s="101"/>
      <c r="GJ53" s="101"/>
      <c r="GK53" s="101"/>
      <c r="GL53" s="101"/>
      <c r="GM53" s="101"/>
      <c r="GN53" s="101"/>
      <c r="GO53" s="101"/>
      <c r="GP53" s="101"/>
      <c r="GQ53" s="101"/>
      <c r="GR53" s="101"/>
      <c r="GS53" s="101"/>
      <c r="GT53" s="101"/>
      <c r="GU53" s="101"/>
      <c r="GV53" s="101"/>
      <c r="GW53" s="101"/>
      <c r="GX53" s="101"/>
      <c r="GY53" s="101"/>
      <c r="GZ53" s="101"/>
      <c r="HA53" s="101"/>
      <c r="HB53" s="101"/>
      <c r="HC53" s="101"/>
      <c r="HD53" s="101"/>
      <c r="HE53" s="101"/>
      <c r="HF53" s="101"/>
      <c r="HG53" s="101"/>
      <c r="HH53" s="101"/>
      <c r="HI53" s="101"/>
      <c r="HJ53" s="101"/>
      <c r="HK53" s="101"/>
      <c r="HL53" s="101"/>
      <c r="HM53" s="101"/>
      <c r="HN53" s="101"/>
      <c r="HO53" s="101"/>
      <c r="HP53" s="101"/>
      <c r="HQ53" s="101"/>
      <c r="HR53" s="101"/>
      <c r="HS53" s="101"/>
      <c r="HT53" s="101"/>
      <c r="HU53" s="101"/>
      <c r="HV53" s="101"/>
      <c r="HW53" s="101"/>
      <c r="HX53" s="101"/>
      <c r="HY53" s="101"/>
      <c r="HZ53" s="101"/>
      <c r="IA53" s="101"/>
    </row>
    <row r="54" spans="1:235" s="148" customFormat="1" x14ac:dyDescent="0.3">
      <c r="A54" s="101"/>
      <c r="B54" s="102" t="s">
        <v>114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  <c r="ET54" s="101"/>
      <c r="EU54" s="101"/>
      <c r="EV54" s="101"/>
      <c r="EW54" s="101"/>
      <c r="EX54" s="101"/>
      <c r="EY54" s="101"/>
      <c r="EZ54" s="101"/>
      <c r="FA54" s="101"/>
      <c r="FB54" s="101"/>
      <c r="FC54" s="101"/>
      <c r="FD54" s="101"/>
      <c r="FE54" s="101"/>
      <c r="FF54" s="101"/>
      <c r="FG54" s="101"/>
      <c r="FH54" s="101"/>
      <c r="FI54" s="101"/>
      <c r="FJ54" s="101"/>
      <c r="FK54" s="101"/>
      <c r="FL54" s="101"/>
      <c r="FM54" s="101"/>
      <c r="FN54" s="101"/>
      <c r="FO54" s="101"/>
      <c r="FP54" s="101"/>
      <c r="FQ54" s="101"/>
      <c r="FR54" s="101"/>
      <c r="FS54" s="101"/>
      <c r="FT54" s="101"/>
      <c r="FU54" s="101"/>
      <c r="FV54" s="101"/>
      <c r="FW54" s="101"/>
      <c r="FX54" s="101"/>
      <c r="FY54" s="101"/>
      <c r="FZ54" s="101"/>
      <c r="GA54" s="101"/>
      <c r="GB54" s="101"/>
      <c r="GC54" s="101"/>
      <c r="GD54" s="101"/>
      <c r="GE54" s="101"/>
      <c r="GF54" s="101"/>
      <c r="GG54" s="101"/>
      <c r="GH54" s="101"/>
      <c r="GI54" s="101"/>
      <c r="GJ54" s="101"/>
      <c r="GK54" s="101"/>
      <c r="GL54" s="101"/>
      <c r="GM54" s="101"/>
      <c r="GN54" s="101"/>
      <c r="GO54" s="101"/>
      <c r="GP54" s="101"/>
      <c r="GQ54" s="101"/>
      <c r="GR54" s="101"/>
      <c r="GS54" s="101"/>
      <c r="GT54" s="101"/>
      <c r="GU54" s="101"/>
      <c r="GV54" s="101"/>
      <c r="GW54" s="101"/>
      <c r="GX54" s="101"/>
      <c r="GY54" s="101"/>
      <c r="GZ54" s="101"/>
      <c r="HA54" s="101"/>
      <c r="HB54" s="101"/>
      <c r="HC54" s="101"/>
      <c r="HD54" s="101"/>
      <c r="HE54" s="101"/>
      <c r="HF54" s="101"/>
      <c r="HG54" s="101"/>
      <c r="HH54" s="101"/>
      <c r="HI54" s="101"/>
      <c r="HJ54" s="101"/>
      <c r="HK54" s="101"/>
      <c r="HL54" s="101"/>
      <c r="HM54" s="101"/>
      <c r="HN54" s="101"/>
      <c r="HO54" s="101"/>
      <c r="HP54" s="101"/>
      <c r="HQ54" s="101"/>
      <c r="HR54" s="101"/>
      <c r="HS54" s="101"/>
      <c r="HT54" s="101"/>
      <c r="HU54" s="101"/>
      <c r="HV54" s="101"/>
      <c r="HW54" s="101"/>
      <c r="HX54" s="101"/>
      <c r="HY54" s="101"/>
      <c r="HZ54" s="101"/>
      <c r="IA54" s="101"/>
    </row>
    <row r="55" spans="1:235" s="175" customFormat="1" x14ac:dyDescent="0.3">
      <c r="A55" s="101"/>
      <c r="B55" s="102" t="s">
        <v>193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01"/>
      <c r="EF55" s="101"/>
      <c r="EG55" s="101"/>
      <c r="EH55" s="101"/>
      <c r="EI55" s="101"/>
      <c r="EJ55" s="101"/>
      <c r="EK55" s="101"/>
      <c r="EL55" s="101"/>
      <c r="EM55" s="101"/>
      <c r="EN55" s="101"/>
      <c r="EO55" s="101"/>
      <c r="EP55" s="101"/>
      <c r="EQ55" s="101"/>
      <c r="ER55" s="101"/>
      <c r="ES55" s="101"/>
      <c r="ET55" s="101"/>
      <c r="EU55" s="101"/>
      <c r="EV55" s="101"/>
      <c r="EW55" s="101"/>
      <c r="EX55" s="101"/>
      <c r="EY55" s="101"/>
      <c r="EZ55" s="101"/>
      <c r="FA55" s="101"/>
      <c r="FB55" s="101"/>
      <c r="FC55" s="101"/>
      <c r="FD55" s="101"/>
      <c r="FE55" s="101"/>
      <c r="FF55" s="101"/>
      <c r="FG55" s="101"/>
      <c r="FH55" s="101"/>
      <c r="FI55" s="101"/>
      <c r="FJ55" s="101"/>
      <c r="FK55" s="101"/>
      <c r="FL55" s="101"/>
      <c r="FM55" s="101"/>
      <c r="FN55" s="101"/>
      <c r="FO55" s="101"/>
      <c r="FP55" s="101"/>
      <c r="FQ55" s="101"/>
      <c r="FR55" s="101"/>
      <c r="FS55" s="101"/>
      <c r="FT55" s="101"/>
      <c r="FU55" s="101"/>
      <c r="FV55" s="101"/>
      <c r="FW55" s="101"/>
      <c r="FX55" s="101"/>
      <c r="FY55" s="101"/>
      <c r="FZ55" s="101"/>
      <c r="GA55" s="101"/>
      <c r="GB55" s="101"/>
      <c r="GC55" s="101"/>
      <c r="GD55" s="101"/>
      <c r="GE55" s="101"/>
      <c r="GF55" s="101"/>
      <c r="GG55" s="101"/>
      <c r="GH55" s="101"/>
      <c r="GI55" s="101"/>
      <c r="GJ55" s="101"/>
      <c r="GK55" s="101"/>
      <c r="GL55" s="101"/>
      <c r="GM55" s="101"/>
      <c r="GN55" s="101"/>
      <c r="GO55" s="101"/>
      <c r="GP55" s="101"/>
      <c r="GQ55" s="101"/>
      <c r="GR55" s="101"/>
      <c r="GS55" s="101"/>
      <c r="GT55" s="101"/>
      <c r="GU55" s="101"/>
      <c r="GV55" s="101"/>
      <c r="GW55" s="101"/>
      <c r="GX55" s="101"/>
      <c r="GY55" s="101"/>
      <c r="GZ55" s="101"/>
      <c r="HA55" s="101"/>
      <c r="HB55" s="101"/>
      <c r="HC55" s="101"/>
      <c r="HD55" s="101"/>
      <c r="HE55" s="101"/>
      <c r="HF55" s="101"/>
      <c r="HG55" s="101"/>
      <c r="HH55" s="101"/>
      <c r="HI55" s="101"/>
      <c r="HJ55" s="101"/>
      <c r="HK55" s="101"/>
      <c r="HL55" s="101"/>
      <c r="HM55" s="101"/>
      <c r="HN55" s="101"/>
      <c r="HO55" s="101"/>
      <c r="HP55" s="101"/>
      <c r="HQ55" s="101"/>
      <c r="HR55" s="101"/>
      <c r="HS55" s="101"/>
      <c r="HT55" s="101"/>
      <c r="HU55" s="101"/>
      <c r="HV55" s="101"/>
      <c r="HW55" s="101"/>
      <c r="HX55" s="101"/>
      <c r="HY55" s="101"/>
      <c r="HZ55" s="101"/>
      <c r="IA55" s="101"/>
    </row>
    <row r="56" spans="1:235" s="175" customFormat="1" ht="16.2" thickBot="1" x14ac:dyDescent="0.35">
      <c r="A56" s="101"/>
      <c r="B56" s="328" t="s">
        <v>197</v>
      </c>
      <c r="C56" s="328"/>
      <c r="D56" s="328"/>
      <c r="E56" s="328"/>
      <c r="F56" s="328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01"/>
      <c r="EF56" s="101"/>
      <c r="EG56" s="101"/>
      <c r="EH56" s="101"/>
      <c r="EI56" s="101"/>
      <c r="EJ56" s="101"/>
      <c r="EK56" s="101"/>
      <c r="EL56" s="101"/>
      <c r="EM56" s="101"/>
      <c r="EN56" s="101"/>
      <c r="EO56" s="101"/>
      <c r="EP56" s="101"/>
      <c r="EQ56" s="101"/>
      <c r="ER56" s="101"/>
      <c r="ES56" s="101"/>
      <c r="ET56" s="101"/>
      <c r="EU56" s="101"/>
      <c r="EV56" s="101"/>
      <c r="EW56" s="101"/>
      <c r="EX56" s="101"/>
      <c r="EY56" s="101"/>
      <c r="EZ56" s="101"/>
      <c r="FA56" s="101"/>
      <c r="FB56" s="101"/>
      <c r="FC56" s="101"/>
      <c r="FD56" s="101"/>
      <c r="FE56" s="101"/>
      <c r="FF56" s="101"/>
      <c r="FG56" s="101"/>
      <c r="FH56" s="101"/>
      <c r="FI56" s="101"/>
      <c r="FJ56" s="101"/>
      <c r="FK56" s="101"/>
      <c r="FL56" s="101"/>
      <c r="FM56" s="101"/>
      <c r="FN56" s="101"/>
      <c r="FO56" s="101"/>
      <c r="FP56" s="101"/>
      <c r="FQ56" s="101"/>
      <c r="FR56" s="101"/>
      <c r="FS56" s="101"/>
      <c r="FT56" s="101"/>
      <c r="FU56" s="101"/>
      <c r="FV56" s="101"/>
      <c r="FW56" s="101"/>
      <c r="FX56" s="101"/>
      <c r="FY56" s="101"/>
      <c r="FZ56" s="101"/>
      <c r="GA56" s="101"/>
      <c r="GB56" s="101"/>
      <c r="GC56" s="101"/>
      <c r="GD56" s="101"/>
      <c r="GE56" s="101"/>
      <c r="GF56" s="101"/>
      <c r="GG56" s="101"/>
      <c r="GH56" s="101"/>
      <c r="GI56" s="101"/>
      <c r="GJ56" s="101"/>
      <c r="GK56" s="101"/>
      <c r="GL56" s="101"/>
      <c r="GM56" s="101"/>
      <c r="GN56" s="101"/>
      <c r="GO56" s="101"/>
      <c r="GP56" s="101"/>
      <c r="GQ56" s="101"/>
      <c r="GR56" s="101"/>
      <c r="GS56" s="101"/>
      <c r="GT56" s="101"/>
      <c r="GU56" s="101"/>
      <c r="GV56" s="101"/>
      <c r="GW56" s="101"/>
      <c r="GX56" s="101"/>
      <c r="GY56" s="101"/>
      <c r="GZ56" s="101"/>
      <c r="HA56" s="101"/>
      <c r="HB56" s="101"/>
      <c r="HC56" s="101"/>
      <c r="HD56" s="101"/>
      <c r="HE56" s="101"/>
      <c r="HF56" s="101"/>
      <c r="HG56" s="101"/>
      <c r="HH56" s="101"/>
      <c r="HI56" s="101"/>
      <c r="HJ56" s="101"/>
      <c r="HK56" s="101"/>
      <c r="HL56" s="101"/>
      <c r="HM56" s="101"/>
      <c r="HN56" s="101"/>
      <c r="HO56" s="101"/>
      <c r="HP56" s="101"/>
      <c r="HQ56" s="101"/>
      <c r="HR56" s="101"/>
      <c r="HS56" s="101"/>
      <c r="HT56" s="101"/>
      <c r="HU56" s="101"/>
      <c r="HV56" s="101"/>
      <c r="HW56" s="101"/>
      <c r="HX56" s="101"/>
      <c r="HY56" s="101"/>
      <c r="HZ56" s="101"/>
      <c r="IA56" s="101"/>
    </row>
    <row r="57" spans="1:235" ht="64.5" customHeight="1" x14ac:dyDescent="0.3">
      <c r="B57" s="324" t="s">
        <v>24</v>
      </c>
      <c r="C57" s="176">
        <v>71400</v>
      </c>
      <c r="D57" s="177">
        <f>F27+F45-484*6-F18</f>
        <v>54332.195000000007</v>
      </c>
      <c r="E57" s="178"/>
      <c r="F57" s="179" t="s">
        <v>145</v>
      </c>
      <c r="K57" s="308"/>
    </row>
    <row r="58" spans="1:235" ht="21.75" customHeight="1" thickBot="1" x14ac:dyDescent="0.35">
      <c r="B58" s="325"/>
      <c r="C58" s="180">
        <v>61200</v>
      </c>
      <c r="D58" s="181">
        <f>F18</f>
        <v>30782.839999999997</v>
      </c>
      <c r="E58" s="180"/>
      <c r="F58" s="182" t="s">
        <v>148</v>
      </c>
      <c r="K58" s="309"/>
    </row>
    <row r="59" spans="1:235" ht="16.2" thickBot="1" x14ac:dyDescent="0.35">
      <c r="B59" s="199" t="s">
        <v>25</v>
      </c>
      <c r="C59" s="183">
        <v>73120</v>
      </c>
      <c r="D59" s="184">
        <f>E44+F46</f>
        <v>44405.342499999999</v>
      </c>
      <c r="E59" s="183"/>
      <c r="F59" s="185" t="s">
        <v>172</v>
      </c>
      <c r="K59" s="127"/>
    </row>
    <row r="60" spans="1:235" ht="34.5" customHeight="1" x14ac:dyDescent="0.3">
      <c r="B60" s="326" t="s">
        <v>26</v>
      </c>
      <c r="C60" s="186">
        <v>71400</v>
      </c>
      <c r="D60" s="187">
        <f>F15+484*6-F14</f>
        <v>74242.799999999988</v>
      </c>
      <c r="E60" s="186"/>
      <c r="F60" s="188" t="s">
        <v>115</v>
      </c>
      <c r="K60" s="307"/>
    </row>
    <row r="61" spans="1:235" ht="30" customHeight="1" thickBot="1" x14ac:dyDescent="0.35">
      <c r="B61" s="327"/>
      <c r="C61" s="180">
        <v>71405</v>
      </c>
      <c r="D61" s="181">
        <f>F14</f>
        <v>2596.2600000000002</v>
      </c>
      <c r="E61" s="180"/>
      <c r="F61" s="182" t="s">
        <v>116</v>
      </c>
    </row>
    <row r="62" spans="1:235" ht="16.2" thickBot="1" x14ac:dyDescent="0.35">
      <c r="B62" s="189" t="s">
        <v>77</v>
      </c>
      <c r="C62" s="190"/>
      <c r="D62" s="191">
        <f>SUM(D57:D61)</f>
        <v>206359.4375</v>
      </c>
      <c r="E62" s="192"/>
      <c r="F62" s="193"/>
    </row>
    <row r="64" spans="1:235" x14ac:dyDescent="0.3">
      <c r="D64" s="113"/>
    </row>
    <row r="65" spans="4:6" x14ac:dyDescent="0.3">
      <c r="D65" s="127"/>
      <c r="E65" s="127"/>
      <c r="F65" s="127"/>
    </row>
    <row r="66" spans="4:6" ht="30" customHeight="1" x14ac:dyDescent="0.3">
      <c r="F66" s="127"/>
    </row>
    <row r="67" spans="4:6" x14ac:dyDescent="0.3">
      <c r="F67" s="127"/>
    </row>
  </sheetData>
  <mergeCells count="3">
    <mergeCell ref="B57:B58"/>
    <mergeCell ref="B60:B61"/>
    <mergeCell ref="B56:F56"/>
  </mergeCells>
  <phoneticPr fontId="0" type="noConversion"/>
  <pageMargins left="0.41" right="0.18" top="0.5" bottom="0.43" header="0.17" footer="0.18"/>
  <pageSetup scale="65" orientation="portrait" r:id="rId1"/>
  <headerFooter alignWithMargins="0"/>
  <rowBreaks count="1" manualBreakCount="1">
    <brk id="56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3"/>
  <sheetViews>
    <sheetView topLeftCell="A29" workbookViewId="0">
      <selection activeCell="O33" sqref="O33"/>
    </sheetView>
  </sheetViews>
  <sheetFormatPr defaultColWidth="9.109375" defaultRowHeight="15.6" x14ac:dyDescent="0.3"/>
  <cols>
    <col min="1" max="1" width="11" style="101" customWidth="1"/>
    <col min="2" max="2" width="39.33203125" style="101" customWidth="1"/>
    <col min="3" max="3" width="15" style="101" customWidth="1"/>
    <col min="4" max="4" width="18.5546875" style="101" customWidth="1"/>
    <col min="5" max="5" width="19.6640625" style="101" customWidth="1"/>
    <col min="6" max="6" width="46.33203125" style="101" customWidth="1"/>
    <col min="7" max="7" width="8" style="101" hidden="1" customWidth="1"/>
    <col min="8" max="9" width="9.109375" style="101" hidden="1" customWidth="1"/>
    <col min="10" max="10" width="11.5546875" style="101" hidden="1" customWidth="1"/>
    <col min="11" max="11" width="22.88671875" style="101" customWidth="1"/>
    <col min="12" max="12" width="13.88671875" style="101" bestFit="1" customWidth="1"/>
    <col min="13" max="13" width="12.44140625" style="101" bestFit="1" customWidth="1"/>
    <col min="14" max="16384" width="9.109375" style="101"/>
  </cols>
  <sheetData>
    <row r="1" spans="1:256" ht="17.399999999999999" x14ac:dyDescent="0.3">
      <c r="B1" s="221" t="s">
        <v>156</v>
      </c>
      <c r="G1" s="103"/>
      <c r="H1" s="103"/>
      <c r="I1" s="103"/>
      <c r="J1" s="103"/>
    </row>
    <row r="2" spans="1:256" ht="7.5" customHeight="1" x14ac:dyDescent="0.3">
      <c r="B2" s="102"/>
      <c r="G2" s="103"/>
      <c r="H2" s="103"/>
      <c r="I2" s="103"/>
      <c r="J2" s="103"/>
    </row>
    <row r="3" spans="1:256" x14ac:dyDescent="0.3">
      <c r="A3" s="207" t="s">
        <v>158</v>
      </c>
      <c r="B3" s="104" t="s">
        <v>0</v>
      </c>
      <c r="C3" s="105" t="s">
        <v>101</v>
      </c>
      <c r="D3" s="106" t="s">
        <v>2</v>
      </c>
      <c r="E3" s="105" t="s">
        <v>151</v>
      </c>
      <c r="F3" s="105" t="s">
        <v>3</v>
      </c>
      <c r="G3" s="107"/>
      <c r="H3" s="108"/>
      <c r="I3" s="103"/>
      <c r="J3" s="103"/>
    </row>
    <row r="4" spans="1:256" x14ac:dyDescent="0.3">
      <c r="B4" s="109" t="s">
        <v>117</v>
      </c>
      <c r="C4" s="110" t="s">
        <v>102</v>
      </c>
      <c r="D4" s="111">
        <f>574*107%</f>
        <v>614.18000000000006</v>
      </c>
      <c r="E4" s="112">
        <f>D4+8.88+42.92+6.6+D4*7%</f>
        <v>715.57260000000008</v>
      </c>
      <c r="F4" s="111">
        <f>E4*12</f>
        <v>8586.8712000000014</v>
      </c>
      <c r="G4" s="101">
        <v>461</v>
      </c>
      <c r="H4" s="113">
        <f>G4*4%</f>
        <v>18.440000000000001</v>
      </c>
      <c r="I4" s="114">
        <f>G4+H4</f>
        <v>479.44</v>
      </c>
      <c r="J4" s="115" t="s">
        <v>102</v>
      </c>
    </row>
    <row r="5" spans="1:256" s="108" customFormat="1" x14ac:dyDescent="0.3">
      <c r="A5" s="103"/>
      <c r="B5" s="116" t="s">
        <v>118</v>
      </c>
      <c r="C5" s="110" t="s">
        <v>103</v>
      </c>
      <c r="D5" s="117">
        <f>484*107%</f>
        <v>517.88</v>
      </c>
      <c r="E5" s="112">
        <f t="shared" ref="E5:E13" si="0">D5+8.88+42.92+6.6+D5*7%</f>
        <v>612.53160000000003</v>
      </c>
      <c r="F5" s="117">
        <f>E5*12</f>
        <v>7350.3792000000003</v>
      </c>
      <c r="G5" s="103"/>
      <c r="H5" s="103"/>
      <c r="I5" s="103"/>
      <c r="J5" s="103"/>
      <c r="K5" s="103"/>
      <c r="L5" s="103"/>
      <c r="M5" s="118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  <c r="IU5" s="103"/>
      <c r="IV5" s="103"/>
    </row>
    <row r="6" spans="1:256" s="108" customFormat="1" x14ac:dyDescent="0.3">
      <c r="A6" s="103"/>
      <c r="B6" s="116" t="s">
        <v>119</v>
      </c>
      <c r="C6" s="110" t="s">
        <v>103</v>
      </c>
      <c r="D6" s="117">
        <f t="shared" ref="D6:D13" si="1">484*107%</f>
        <v>517.88</v>
      </c>
      <c r="E6" s="112">
        <f t="shared" si="0"/>
        <v>612.53160000000003</v>
      </c>
      <c r="F6" s="117">
        <f t="shared" ref="F6:F13" si="2">E6*12</f>
        <v>7350.3792000000003</v>
      </c>
      <c r="G6" s="103">
        <v>426</v>
      </c>
      <c r="H6" s="119">
        <f t="shared" ref="H6:H13" si="3">G6*4%</f>
        <v>17.04</v>
      </c>
      <c r="I6" s="119">
        <f t="shared" ref="I6:I13" si="4">G6+H6</f>
        <v>443.04</v>
      </c>
      <c r="J6" s="120" t="s">
        <v>103</v>
      </c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  <c r="IU6" s="103"/>
      <c r="IV6" s="103"/>
    </row>
    <row r="7" spans="1:256" s="108" customFormat="1" x14ac:dyDescent="0.3">
      <c r="A7" s="103"/>
      <c r="B7" s="116" t="s">
        <v>120</v>
      </c>
      <c r="C7" s="110" t="s">
        <v>103</v>
      </c>
      <c r="D7" s="117">
        <f t="shared" si="1"/>
        <v>517.88</v>
      </c>
      <c r="E7" s="112">
        <f t="shared" si="0"/>
        <v>612.53160000000003</v>
      </c>
      <c r="F7" s="117">
        <f t="shared" si="2"/>
        <v>7350.3792000000003</v>
      </c>
      <c r="G7" s="103">
        <v>365</v>
      </c>
      <c r="H7" s="119">
        <f t="shared" si="3"/>
        <v>14.6</v>
      </c>
      <c r="I7" s="119">
        <f t="shared" si="4"/>
        <v>379.6</v>
      </c>
      <c r="J7" s="120" t="s">
        <v>103</v>
      </c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  <c r="IU7" s="103"/>
      <c r="IV7" s="103"/>
    </row>
    <row r="8" spans="1:256" s="108" customFormat="1" x14ac:dyDescent="0.3">
      <c r="A8" s="103"/>
      <c r="B8" s="116" t="s">
        <v>104</v>
      </c>
      <c r="C8" s="110" t="s">
        <v>103</v>
      </c>
      <c r="D8" s="117">
        <f t="shared" si="1"/>
        <v>517.88</v>
      </c>
      <c r="E8" s="112">
        <f t="shared" si="0"/>
        <v>612.53160000000003</v>
      </c>
      <c r="F8" s="117">
        <f t="shared" si="2"/>
        <v>7350.3792000000003</v>
      </c>
      <c r="G8" s="103">
        <v>410</v>
      </c>
      <c r="H8" s="119">
        <f t="shared" si="3"/>
        <v>16.399999999999999</v>
      </c>
      <c r="I8" s="119">
        <f t="shared" si="4"/>
        <v>426.4</v>
      </c>
      <c r="J8" s="120" t="s">
        <v>103</v>
      </c>
      <c r="K8" s="103"/>
      <c r="L8" s="118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  <c r="IT8" s="103"/>
      <c r="IU8" s="103"/>
      <c r="IV8" s="103"/>
    </row>
    <row r="9" spans="1:256" x14ac:dyDescent="0.3">
      <c r="B9" s="109" t="s">
        <v>105</v>
      </c>
      <c r="C9" s="110" t="s">
        <v>103</v>
      </c>
      <c r="D9" s="117">
        <f t="shared" si="1"/>
        <v>517.88</v>
      </c>
      <c r="E9" s="112">
        <f t="shared" si="0"/>
        <v>612.53160000000003</v>
      </c>
      <c r="F9" s="111">
        <f t="shared" si="2"/>
        <v>7350.3792000000003</v>
      </c>
      <c r="G9" s="101">
        <v>410</v>
      </c>
      <c r="H9" s="113">
        <f t="shared" si="3"/>
        <v>16.399999999999999</v>
      </c>
      <c r="I9" s="114">
        <f t="shared" si="4"/>
        <v>426.4</v>
      </c>
      <c r="J9" s="115" t="s">
        <v>103</v>
      </c>
      <c r="M9" s="127"/>
    </row>
    <row r="10" spans="1:256" x14ac:dyDescent="0.3">
      <c r="B10" s="109" t="s">
        <v>121</v>
      </c>
      <c r="C10" s="110" t="s">
        <v>103</v>
      </c>
      <c r="D10" s="117">
        <f t="shared" si="1"/>
        <v>517.88</v>
      </c>
      <c r="E10" s="112">
        <f t="shared" si="0"/>
        <v>612.53160000000003</v>
      </c>
      <c r="F10" s="111">
        <f t="shared" si="2"/>
        <v>7350.3792000000003</v>
      </c>
      <c r="G10" s="101">
        <v>324</v>
      </c>
      <c r="H10" s="113">
        <f t="shared" si="3"/>
        <v>12.96</v>
      </c>
      <c r="I10" s="114">
        <f t="shared" si="4"/>
        <v>336.96</v>
      </c>
      <c r="J10" s="115" t="s">
        <v>103</v>
      </c>
    </row>
    <row r="11" spans="1:256" x14ac:dyDescent="0.3">
      <c r="B11" s="109" t="s">
        <v>122</v>
      </c>
      <c r="C11" s="110" t="s">
        <v>103</v>
      </c>
      <c r="D11" s="117">
        <f t="shared" si="1"/>
        <v>517.88</v>
      </c>
      <c r="E11" s="112">
        <f t="shared" si="0"/>
        <v>612.53160000000003</v>
      </c>
      <c r="F11" s="111">
        <f t="shared" si="2"/>
        <v>7350.3792000000003</v>
      </c>
      <c r="G11" s="101">
        <v>350</v>
      </c>
      <c r="H11" s="113">
        <f t="shared" si="3"/>
        <v>14</v>
      </c>
      <c r="I11" s="114">
        <f t="shared" si="4"/>
        <v>364</v>
      </c>
      <c r="J11" s="115" t="s">
        <v>103</v>
      </c>
    </row>
    <row r="12" spans="1:256" x14ac:dyDescent="0.3">
      <c r="B12" s="109" t="s">
        <v>123</v>
      </c>
      <c r="C12" s="110" t="s">
        <v>103</v>
      </c>
      <c r="D12" s="117">
        <f t="shared" si="1"/>
        <v>517.88</v>
      </c>
      <c r="E12" s="112">
        <f t="shared" si="0"/>
        <v>612.53160000000003</v>
      </c>
      <c r="F12" s="111">
        <f t="shared" si="2"/>
        <v>7350.3792000000003</v>
      </c>
      <c r="G12" s="101">
        <v>365</v>
      </c>
      <c r="H12" s="113">
        <f t="shared" si="3"/>
        <v>14.6</v>
      </c>
      <c r="I12" s="114">
        <f t="shared" si="4"/>
        <v>379.6</v>
      </c>
      <c r="J12" s="115" t="s">
        <v>103</v>
      </c>
    </row>
    <row r="13" spans="1:256" x14ac:dyDescent="0.3">
      <c r="B13" s="109" t="s">
        <v>149</v>
      </c>
      <c r="C13" s="110" t="s">
        <v>103</v>
      </c>
      <c r="D13" s="117">
        <f t="shared" si="1"/>
        <v>517.88</v>
      </c>
      <c r="E13" s="112">
        <f t="shared" si="0"/>
        <v>612.53160000000003</v>
      </c>
      <c r="F13" s="111">
        <f t="shared" si="2"/>
        <v>7350.3792000000003</v>
      </c>
      <c r="G13" s="101">
        <v>324</v>
      </c>
      <c r="H13" s="113">
        <f t="shared" si="3"/>
        <v>12.96</v>
      </c>
      <c r="I13" s="114">
        <f t="shared" si="4"/>
        <v>336.96</v>
      </c>
      <c r="J13" s="115" t="s">
        <v>103</v>
      </c>
      <c r="L13" s="127"/>
    </row>
    <row r="14" spans="1:256" x14ac:dyDescent="0.3">
      <c r="B14" s="109" t="s">
        <v>113</v>
      </c>
      <c r="C14" s="121"/>
      <c r="D14" s="122"/>
      <c r="E14" s="112"/>
      <c r="F14" s="123">
        <v>2596.2600000000002</v>
      </c>
      <c r="L14" s="127"/>
    </row>
    <row r="15" spans="1:256" x14ac:dyDescent="0.3">
      <c r="B15" s="124" t="s">
        <v>12</v>
      </c>
      <c r="C15" s="125"/>
      <c r="D15" s="126">
        <f>SUM(D4:D13)</f>
        <v>5275.1</v>
      </c>
      <c r="E15" s="126">
        <f>SUM(E4:E13)</f>
        <v>6228.3570000000018</v>
      </c>
      <c r="F15" s="126">
        <f>SUM(F4:F14)</f>
        <v>77336.543999999994</v>
      </c>
      <c r="G15" s="101">
        <v>151</v>
      </c>
      <c r="J15" s="115"/>
      <c r="L15" s="127"/>
    </row>
    <row r="16" spans="1:256" x14ac:dyDescent="0.3">
      <c r="F16" s="224"/>
      <c r="G16" s="128"/>
      <c r="H16" s="129"/>
      <c r="I16" s="128"/>
      <c r="J16" s="128"/>
    </row>
    <row r="17" spans="1:256" x14ac:dyDescent="0.3">
      <c r="A17" s="207" t="s">
        <v>24</v>
      </c>
      <c r="B17" s="104" t="s">
        <v>13</v>
      </c>
      <c r="C17" s="105" t="s">
        <v>1</v>
      </c>
      <c r="D17" s="105" t="s">
        <v>150</v>
      </c>
      <c r="E17" s="105" t="s">
        <v>141</v>
      </c>
      <c r="F17" s="105" t="s">
        <v>3</v>
      </c>
      <c r="G17" s="128"/>
      <c r="H17" s="129"/>
      <c r="I17" s="128"/>
      <c r="J17" s="128"/>
    </row>
    <row r="18" spans="1:256" s="108" customFormat="1" ht="18.75" customHeight="1" x14ac:dyDescent="0.3">
      <c r="A18" s="103"/>
      <c r="B18" s="116" t="s">
        <v>142</v>
      </c>
      <c r="C18" s="130">
        <v>1</v>
      </c>
      <c r="D18" s="111">
        <v>1648.52</v>
      </c>
      <c r="E18" s="112">
        <f>1747.75+105+170.47*2+126.71</f>
        <v>2320.4</v>
      </c>
      <c r="F18" s="117">
        <f>E18*12</f>
        <v>27844.800000000003</v>
      </c>
      <c r="G18" s="103"/>
      <c r="H18" s="103"/>
      <c r="I18" s="103"/>
      <c r="J18" s="103"/>
      <c r="K18" s="103"/>
      <c r="L18" s="118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03"/>
      <c r="ID18" s="103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03"/>
      <c r="IQ18" s="103"/>
      <c r="IR18" s="103"/>
      <c r="IS18" s="103"/>
      <c r="IT18" s="103"/>
      <c r="IU18" s="103"/>
      <c r="IV18" s="103"/>
    </row>
    <row r="19" spans="1:256" s="108" customFormat="1" x14ac:dyDescent="0.3">
      <c r="A19" s="103"/>
      <c r="B19" s="116" t="s">
        <v>143</v>
      </c>
      <c r="C19" s="130">
        <v>1</v>
      </c>
      <c r="D19" s="112">
        <v>432.75</v>
      </c>
      <c r="E19" s="112">
        <f>D19+8.88+42.92+6.6+D19*7%</f>
        <v>521.4425</v>
      </c>
      <c r="F19" s="117">
        <f t="shared" ref="F19:F25" si="5">E19*12</f>
        <v>6257.3099999999995</v>
      </c>
      <c r="G19" s="103"/>
      <c r="H19" s="103"/>
      <c r="I19" s="103"/>
      <c r="J19" s="118">
        <f>E19*2</f>
        <v>1042.885</v>
      </c>
      <c r="K19" s="103"/>
      <c r="L19" s="118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  <c r="HZ19" s="103"/>
      <c r="IA19" s="103"/>
      <c r="IB19" s="103"/>
      <c r="IC19" s="103"/>
      <c r="ID19" s="103"/>
      <c r="IE19" s="103"/>
      <c r="IF19" s="103"/>
      <c r="IG19" s="103"/>
      <c r="IH19" s="103"/>
      <c r="II19" s="103"/>
      <c r="IJ19" s="103"/>
      <c r="IK19" s="103"/>
      <c r="IL19" s="103"/>
      <c r="IM19" s="103"/>
      <c r="IN19" s="103"/>
      <c r="IO19" s="103"/>
      <c r="IP19" s="103"/>
      <c r="IQ19" s="103"/>
      <c r="IR19" s="103"/>
      <c r="IS19" s="103"/>
      <c r="IT19" s="103"/>
      <c r="IU19" s="103"/>
      <c r="IV19" s="103"/>
    </row>
    <row r="20" spans="1:256" s="108" customFormat="1" x14ac:dyDescent="0.3">
      <c r="A20" s="103"/>
      <c r="B20" s="116" t="s">
        <v>147</v>
      </c>
      <c r="C20" s="130">
        <v>1</v>
      </c>
      <c r="D20" s="112">
        <v>432.75</v>
      </c>
      <c r="E20" s="112">
        <f t="shared" ref="E20:E26" si="6">D20+8.88+42.92+6.6+D20*7%</f>
        <v>521.4425</v>
      </c>
      <c r="F20" s="117">
        <f t="shared" si="5"/>
        <v>6257.3099999999995</v>
      </c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03"/>
      <c r="ID20" s="103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03"/>
      <c r="IQ20" s="103"/>
      <c r="IR20" s="103"/>
      <c r="IS20" s="103"/>
      <c r="IT20" s="103"/>
      <c r="IU20" s="103"/>
      <c r="IV20" s="103"/>
    </row>
    <row r="21" spans="1:256" x14ac:dyDescent="0.3">
      <c r="B21" s="109" t="s">
        <v>124</v>
      </c>
      <c r="C21" s="130" t="s">
        <v>110</v>
      </c>
      <c r="D21" s="112">
        <f>599*107%</f>
        <v>640.93000000000006</v>
      </c>
      <c r="E21" s="112">
        <f t="shared" si="6"/>
        <v>744.19510000000002</v>
      </c>
      <c r="F21" s="111">
        <f t="shared" si="5"/>
        <v>8930.3412000000008</v>
      </c>
      <c r="G21" s="131">
        <v>599</v>
      </c>
      <c r="H21" s="132"/>
      <c r="I21" s="128"/>
      <c r="J21" s="128"/>
    </row>
    <row r="22" spans="1:256" x14ac:dyDescent="0.3">
      <c r="B22" s="109" t="s">
        <v>106</v>
      </c>
      <c r="C22" s="130" t="s">
        <v>107</v>
      </c>
      <c r="D22" s="112">
        <f>391*107%</f>
        <v>418.37</v>
      </c>
      <c r="E22" s="112">
        <f t="shared" si="6"/>
        <v>506.05590000000007</v>
      </c>
      <c r="F22" s="111">
        <f t="shared" si="5"/>
        <v>6072.6708000000008</v>
      </c>
      <c r="G22" s="131">
        <v>391</v>
      </c>
      <c r="H22" s="132"/>
      <c r="I22" s="128"/>
      <c r="J22" s="128"/>
      <c r="L22" s="127"/>
    </row>
    <row r="23" spans="1:256" x14ac:dyDescent="0.3">
      <c r="B23" s="109" t="s">
        <v>125</v>
      </c>
      <c r="C23" s="130" t="s">
        <v>108</v>
      </c>
      <c r="D23" s="112">
        <f>391*107%</f>
        <v>418.37</v>
      </c>
      <c r="E23" s="112">
        <f t="shared" si="6"/>
        <v>506.05590000000007</v>
      </c>
      <c r="F23" s="111">
        <f t="shared" si="5"/>
        <v>6072.6708000000008</v>
      </c>
      <c r="G23" s="131">
        <v>341</v>
      </c>
      <c r="H23" s="119"/>
      <c r="I23" s="103"/>
      <c r="J23" s="118">
        <f>E23*4</f>
        <v>2024.2236000000003</v>
      </c>
      <c r="M23" s="127"/>
    </row>
    <row r="24" spans="1:256" x14ac:dyDescent="0.3">
      <c r="B24" s="109" t="s">
        <v>144</v>
      </c>
      <c r="C24" s="130" t="s">
        <v>108</v>
      </c>
      <c r="D24" s="112">
        <f>391*107%</f>
        <v>418.37</v>
      </c>
      <c r="E24" s="112">
        <f t="shared" si="6"/>
        <v>506.05590000000007</v>
      </c>
      <c r="F24" s="111">
        <f t="shared" si="5"/>
        <v>6072.6708000000008</v>
      </c>
      <c r="G24" s="131">
        <v>341</v>
      </c>
      <c r="H24" s="119"/>
      <c r="I24" s="103"/>
      <c r="J24" s="103"/>
    </row>
    <row r="25" spans="1:256" x14ac:dyDescent="0.3">
      <c r="B25" s="109" t="s">
        <v>126</v>
      </c>
      <c r="C25" s="130" t="s">
        <v>108</v>
      </c>
      <c r="D25" s="112">
        <f>391*107%</f>
        <v>418.37</v>
      </c>
      <c r="E25" s="112">
        <f t="shared" si="6"/>
        <v>506.05590000000007</v>
      </c>
      <c r="F25" s="111">
        <f t="shared" si="5"/>
        <v>6072.6708000000008</v>
      </c>
      <c r="G25" s="131">
        <v>341</v>
      </c>
      <c r="H25" s="119"/>
      <c r="I25" s="103"/>
      <c r="J25" s="103"/>
    </row>
    <row r="26" spans="1:256" x14ac:dyDescent="0.3">
      <c r="B26" s="109" t="s">
        <v>154</v>
      </c>
      <c r="C26" s="130" t="s">
        <v>108</v>
      </c>
      <c r="D26" s="112">
        <f>391*107%</f>
        <v>418.37</v>
      </c>
      <c r="E26" s="112">
        <f t="shared" si="6"/>
        <v>506.05590000000007</v>
      </c>
      <c r="F26" s="111">
        <f>E26*12</f>
        <v>6072.6708000000008</v>
      </c>
      <c r="G26" s="131"/>
      <c r="H26" s="119"/>
      <c r="I26" s="103"/>
      <c r="J26" s="103"/>
      <c r="K26" s="127"/>
      <c r="L26" s="127"/>
    </row>
    <row r="27" spans="1:256" x14ac:dyDescent="0.3">
      <c r="A27" s="222"/>
      <c r="B27" s="203" t="s">
        <v>183</v>
      </c>
      <c r="C27" s="204"/>
      <c r="D27" s="205"/>
      <c r="E27" s="205"/>
      <c r="F27" s="206">
        <v>684</v>
      </c>
      <c r="G27" s="131"/>
      <c r="H27" s="119"/>
      <c r="I27" s="103"/>
      <c r="J27" s="103"/>
    </row>
    <row r="28" spans="1:256" x14ac:dyDescent="0.3">
      <c r="B28" s="124" t="s">
        <v>12</v>
      </c>
      <c r="C28" s="133"/>
      <c r="D28" s="126">
        <f>SUM(D18:D26)</f>
        <v>5246.7999999999993</v>
      </c>
      <c r="E28" s="126">
        <f>SUM(E18:E26)</f>
        <v>6637.7596000000021</v>
      </c>
      <c r="F28" s="126">
        <f>SUM(F18:F27)</f>
        <v>80337.115200000015</v>
      </c>
      <c r="J28" s="127">
        <f>F28-F18</f>
        <v>52492.315200000012</v>
      </c>
      <c r="L28" s="127"/>
    </row>
    <row r="29" spans="1:256" x14ac:dyDescent="0.3">
      <c r="B29" s="103"/>
      <c r="C29" s="103"/>
      <c r="D29" s="134"/>
      <c r="E29" s="108"/>
      <c r="F29" s="135">
        <f>F15+F28</f>
        <v>157673.65919999999</v>
      </c>
      <c r="G29" s="103"/>
      <c r="H29" s="103"/>
      <c r="I29" s="103"/>
      <c r="J29" s="103"/>
    </row>
    <row r="30" spans="1:256" x14ac:dyDescent="0.3">
      <c r="A30" s="207" t="s">
        <v>25</v>
      </c>
      <c r="B30" s="104" t="s">
        <v>162</v>
      </c>
      <c r="C30" s="105" t="s">
        <v>80</v>
      </c>
      <c r="D30" s="105" t="s">
        <v>81</v>
      </c>
      <c r="E30" s="105" t="s">
        <v>78</v>
      </c>
      <c r="F30" s="105" t="s">
        <v>79</v>
      </c>
    </row>
    <row r="31" spans="1:256" ht="31.5" customHeight="1" x14ac:dyDescent="0.3">
      <c r="B31" s="136" t="s">
        <v>20</v>
      </c>
      <c r="C31" s="137">
        <v>12</v>
      </c>
      <c r="D31" s="138">
        <v>250</v>
      </c>
      <c r="E31" s="139">
        <f>C31*D31</f>
        <v>3000</v>
      </c>
      <c r="F31" s="140" t="s">
        <v>128</v>
      </c>
      <c r="G31" s="103"/>
      <c r="H31" s="103"/>
      <c r="I31" s="103"/>
      <c r="J31" s="103"/>
      <c r="K31" s="127"/>
      <c r="L31" s="127"/>
    </row>
    <row r="32" spans="1:256" ht="33.75" customHeight="1" x14ac:dyDescent="0.3">
      <c r="B32" s="141" t="s">
        <v>21</v>
      </c>
      <c r="C32" s="137">
        <v>12</v>
      </c>
      <c r="D32" s="138">
        <f>E32/12</f>
        <v>497.09280701754386</v>
      </c>
      <c r="E32" s="139">
        <v>5965.1136842105261</v>
      </c>
      <c r="F32" s="142" t="s">
        <v>83</v>
      </c>
      <c r="G32" s="103"/>
      <c r="H32" s="103"/>
      <c r="I32" s="103"/>
      <c r="J32" s="103"/>
      <c r="L32" s="127"/>
    </row>
    <row r="33" spans="1:256" s="148" customFormat="1" ht="36" customHeight="1" x14ac:dyDescent="0.25">
      <c r="A33" s="143"/>
      <c r="B33" s="144" t="s">
        <v>157</v>
      </c>
      <c r="C33" s="137">
        <v>3</v>
      </c>
      <c r="D33" s="145"/>
      <c r="E33" s="139">
        <f>8496+78.67</f>
        <v>8574.67</v>
      </c>
      <c r="F33" s="144" t="s">
        <v>175</v>
      </c>
      <c r="G33" s="146"/>
      <c r="H33" s="146"/>
      <c r="I33" s="146"/>
      <c r="J33" s="147"/>
      <c r="K33" s="143"/>
      <c r="L33" s="197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3"/>
      <c r="FG33" s="143"/>
      <c r="FH33" s="14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3"/>
      <c r="FV33" s="143"/>
      <c r="FW33" s="143"/>
      <c r="FX33" s="143"/>
      <c r="FY33" s="143"/>
      <c r="FZ33" s="143"/>
      <c r="GA33" s="143"/>
      <c r="GB33" s="143"/>
      <c r="GC33" s="143"/>
      <c r="GD33" s="143"/>
      <c r="GE33" s="143"/>
      <c r="GF33" s="143"/>
      <c r="GG33" s="143"/>
      <c r="GH33" s="143"/>
      <c r="GI33" s="143"/>
      <c r="GJ33" s="143"/>
      <c r="GK33" s="143"/>
      <c r="GL33" s="143"/>
      <c r="GM33" s="143"/>
      <c r="GN33" s="143"/>
      <c r="GO33" s="143"/>
      <c r="GP33" s="143"/>
      <c r="GQ33" s="143"/>
      <c r="GR33" s="143"/>
      <c r="GS33" s="143"/>
      <c r="GT33" s="143"/>
      <c r="GU33" s="143"/>
      <c r="GV33" s="143"/>
      <c r="GW33" s="143"/>
      <c r="GX33" s="143"/>
      <c r="GY33" s="143"/>
      <c r="GZ33" s="143"/>
      <c r="HA33" s="143"/>
      <c r="HB33" s="143"/>
      <c r="HC33" s="143"/>
      <c r="HD33" s="143"/>
      <c r="HE33" s="143"/>
      <c r="HF33" s="143"/>
      <c r="HG33" s="143"/>
      <c r="HH33" s="143"/>
      <c r="HI33" s="143"/>
      <c r="HJ33" s="143"/>
      <c r="HK33" s="143"/>
      <c r="HL33" s="143"/>
      <c r="HM33" s="143"/>
      <c r="HN33" s="143"/>
      <c r="HO33" s="143"/>
      <c r="HP33" s="143"/>
      <c r="HQ33" s="143"/>
      <c r="HR33" s="143"/>
      <c r="HS33" s="143"/>
      <c r="HT33" s="143"/>
      <c r="HU33" s="143"/>
      <c r="HV33" s="143"/>
      <c r="HW33" s="143"/>
      <c r="HX33" s="143"/>
      <c r="HY33" s="143"/>
      <c r="HZ33" s="143"/>
      <c r="IA33" s="143"/>
      <c r="IB33" s="143"/>
      <c r="IC33" s="143"/>
      <c r="ID33" s="143"/>
      <c r="IE33" s="143"/>
      <c r="IF33" s="143"/>
      <c r="IG33" s="143"/>
      <c r="IH33" s="143"/>
      <c r="II33" s="143"/>
      <c r="IJ33" s="143"/>
      <c r="IK33" s="143"/>
      <c r="IL33" s="143"/>
      <c r="IM33" s="143"/>
      <c r="IN33" s="143"/>
      <c r="IO33" s="143"/>
      <c r="IP33" s="143"/>
      <c r="IQ33" s="143"/>
      <c r="IR33" s="143"/>
      <c r="IS33" s="143"/>
      <c r="IT33" s="143"/>
      <c r="IU33" s="143"/>
      <c r="IV33" s="143"/>
    </row>
    <row r="34" spans="1:256" s="108" customFormat="1" ht="36" customHeight="1" x14ac:dyDescent="0.3">
      <c r="A34" s="103"/>
      <c r="B34" s="151" t="s">
        <v>84</v>
      </c>
      <c r="C34" s="152">
        <v>12</v>
      </c>
      <c r="D34" s="150">
        <f>E34/12</f>
        <v>666.66666666666663</v>
      </c>
      <c r="E34" s="230">
        <v>8000</v>
      </c>
      <c r="F34" s="149" t="s">
        <v>153</v>
      </c>
      <c r="G34" s="146"/>
      <c r="H34" s="146"/>
      <c r="I34" s="146"/>
      <c r="J34" s="103"/>
      <c r="K34" s="118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  <c r="IA34" s="103"/>
      <c r="IB34" s="103"/>
      <c r="IC34" s="103"/>
      <c r="ID34" s="103"/>
      <c r="IE34" s="103"/>
      <c r="IF34" s="103"/>
      <c r="IG34" s="103"/>
      <c r="IH34" s="103"/>
      <c r="II34" s="103"/>
      <c r="IJ34" s="103"/>
      <c r="IK34" s="103"/>
      <c r="IL34" s="103"/>
      <c r="IM34" s="103"/>
      <c r="IN34" s="103"/>
      <c r="IO34" s="103"/>
      <c r="IP34" s="103"/>
      <c r="IQ34" s="103"/>
      <c r="IR34" s="103"/>
      <c r="IS34" s="103"/>
      <c r="IT34" s="103"/>
      <c r="IU34" s="103"/>
      <c r="IV34" s="103"/>
    </row>
    <row r="35" spans="1:256" s="108" customFormat="1" ht="18" customHeight="1" x14ac:dyDescent="0.3">
      <c r="A35" s="103"/>
      <c r="B35" s="208" t="s">
        <v>178</v>
      </c>
      <c r="C35" s="209"/>
      <c r="D35" s="210"/>
      <c r="E35" s="211"/>
      <c r="F35" s="212"/>
      <c r="G35" s="146"/>
      <c r="H35" s="146"/>
      <c r="I35" s="146"/>
      <c r="J35" s="103"/>
      <c r="K35" s="118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  <c r="GK35" s="103"/>
      <c r="GL35" s="103"/>
      <c r="GM35" s="103"/>
      <c r="GN35" s="103"/>
      <c r="GO35" s="103"/>
      <c r="GP35" s="103"/>
      <c r="GQ35" s="103"/>
      <c r="GR35" s="103"/>
      <c r="GS35" s="103"/>
      <c r="GT35" s="103"/>
      <c r="GU35" s="103"/>
      <c r="GV35" s="103"/>
      <c r="GW35" s="103"/>
      <c r="GX35" s="103"/>
      <c r="GY35" s="103"/>
      <c r="GZ35" s="103"/>
      <c r="HA35" s="103"/>
      <c r="HB35" s="103"/>
      <c r="HC35" s="103"/>
      <c r="HD35" s="103"/>
      <c r="HE35" s="103"/>
      <c r="HF35" s="103"/>
      <c r="HG35" s="103"/>
      <c r="HH35" s="103"/>
      <c r="HI35" s="103"/>
      <c r="HJ35" s="103"/>
      <c r="HK35" s="103"/>
      <c r="HL35" s="103"/>
      <c r="HM35" s="103"/>
      <c r="HN35" s="103"/>
      <c r="HO35" s="103"/>
      <c r="HP35" s="103"/>
      <c r="HQ35" s="103"/>
      <c r="HR35" s="103"/>
      <c r="HS35" s="103"/>
      <c r="HT35" s="103"/>
      <c r="HU35" s="103"/>
      <c r="HV35" s="103"/>
      <c r="HW35" s="103"/>
      <c r="HX35" s="103"/>
      <c r="HY35" s="103"/>
      <c r="HZ35" s="103"/>
      <c r="IA35" s="103"/>
      <c r="IB35" s="103"/>
      <c r="IC35" s="103"/>
      <c r="ID35" s="103"/>
      <c r="IE35" s="103"/>
      <c r="IF35" s="103"/>
      <c r="IG35" s="103"/>
      <c r="IH35" s="103"/>
      <c r="II35" s="103"/>
      <c r="IJ35" s="103"/>
      <c r="IK35" s="103"/>
      <c r="IL35" s="103"/>
      <c r="IM35" s="103"/>
      <c r="IN35" s="103"/>
      <c r="IO35" s="103"/>
      <c r="IP35" s="103"/>
      <c r="IQ35" s="103"/>
      <c r="IR35" s="103"/>
      <c r="IS35" s="103"/>
      <c r="IT35" s="103"/>
      <c r="IU35" s="103"/>
      <c r="IV35" s="103"/>
    </row>
    <row r="36" spans="1:256" s="155" customFormat="1" ht="30" customHeight="1" x14ac:dyDescent="0.3">
      <c r="A36" s="153"/>
      <c r="B36" s="154" t="s">
        <v>160</v>
      </c>
      <c r="C36" s="152">
        <v>1</v>
      </c>
      <c r="D36" s="156"/>
      <c r="E36" s="156">
        <v>6521</v>
      </c>
      <c r="F36" s="194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/>
      <c r="DZ36" s="153"/>
      <c r="EA36" s="153"/>
      <c r="EB36" s="153"/>
      <c r="EC36" s="153"/>
      <c r="ED36" s="153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  <c r="FF36" s="153"/>
      <c r="FG36" s="153"/>
      <c r="FH36" s="153"/>
      <c r="FI36" s="153"/>
      <c r="FJ36" s="153"/>
      <c r="FK36" s="153"/>
      <c r="FL36" s="153"/>
      <c r="FM36" s="153"/>
      <c r="FN36" s="153"/>
      <c r="FO36" s="153"/>
      <c r="FP36" s="153"/>
      <c r="FQ36" s="153"/>
      <c r="FR36" s="153"/>
      <c r="FS36" s="153"/>
      <c r="FT36" s="153"/>
      <c r="FU36" s="153"/>
      <c r="FV36" s="153"/>
      <c r="FW36" s="153"/>
      <c r="FX36" s="153"/>
      <c r="FY36" s="153"/>
      <c r="FZ36" s="153"/>
      <c r="GA36" s="153"/>
      <c r="GB36" s="153"/>
      <c r="GC36" s="153"/>
      <c r="GD36" s="153"/>
      <c r="GE36" s="153"/>
      <c r="GF36" s="153"/>
      <c r="GG36" s="153"/>
      <c r="GH36" s="153"/>
      <c r="GI36" s="153"/>
      <c r="GJ36" s="153"/>
      <c r="GK36" s="153"/>
      <c r="GL36" s="153"/>
      <c r="GM36" s="153"/>
      <c r="GN36" s="153"/>
      <c r="GO36" s="153"/>
      <c r="GP36" s="153"/>
      <c r="GQ36" s="153"/>
      <c r="GR36" s="153"/>
      <c r="GS36" s="153"/>
      <c r="GT36" s="153"/>
      <c r="GU36" s="153"/>
      <c r="GV36" s="153"/>
      <c r="GW36" s="153"/>
      <c r="GX36" s="153"/>
      <c r="GY36" s="153"/>
      <c r="GZ36" s="153"/>
      <c r="HA36" s="153"/>
      <c r="HB36" s="153"/>
      <c r="HC36" s="153"/>
      <c r="HD36" s="153"/>
      <c r="HE36" s="153"/>
      <c r="HF36" s="153"/>
      <c r="HG36" s="153"/>
      <c r="HH36" s="153"/>
      <c r="HI36" s="153"/>
      <c r="HJ36" s="153"/>
      <c r="HK36" s="153"/>
      <c r="HL36" s="153"/>
      <c r="HM36" s="153"/>
      <c r="HN36" s="153"/>
      <c r="HO36" s="153"/>
      <c r="HP36" s="153"/>
      <c r="HQ36" s="153"/>
      <c r="HR36" s="153"/>
      <c r="HS36" s="153"/>
      <c r="HT36" s="153"/>
      <c r="HU36" s="153"/>
      <c r="HV36" s="153"/>
      <c r="HW36" s="153"/>
      <c r="HX36" s="153"/>
      <c r="HY36" s="153"/>
      <c r="HZ36" s="153"/>
      <c r="IA36" s="153"/>
      <c r="IB36" s="153"/>
      <c r="IC36" s="153"/>
      <c r="ID36" s="153"/>
      <c r="IE36" s="153"/>
      <c r="IF36" s="153"/>
      <c r="IG36" s="153"/>
      <c r="IH36" s="153"/>
      <c r="II36" s="153"/>
      <c r="IJ36" s="153"/>
      <c r="IK36" s="153"/>
      <c r="IL36" s="153"/>
      <c r="IM36" s="153"/>
      <c r="IN36" s="153"/>
      <c r="IO36" s="153"/>
      <c r="IP36" s="153"/>
      <c r="IQ36" s="153"/>
      <c r="IR36" s="153"/>
      <c r="IS36" s="153"/>
      <c r="IT36" s="153"/>
      <c r="IU36" s="153"/>
      <c r="IV36" s="153"/>
    </row>
    <row r="37" spans="1:256" s="155" customFormat="1" ht="19.5" customHeight="1" x14ac:dyDescent="0.3">
      <c r="B37" s="154" t="s">
        <v>161</v>
      </c>
      <c r="C37" s="152">
        <v>1</v>
      </c>
      <c r="D37" s="145"/>
      <c r="E37" s="145">
        <v>5500</v>
      </c>
      <c r="F37" s="157"/>
    </row>
    <row r="38" spans="1:256" s="155" customFormat="1" ht="33" customHeight="1" x14ac:dyDescent="0.3">
      <c r="A38" s="153"/>
      <c r="B38" s="233" t="s">
        <v>185</v>
      </c>
      <c r="C38" s="234">
        <v>21</v>
      </c>
      <c r="D38" s="235">
        <v>20</v>
      </c>
      <c r="E38" s="236">
        <v>420</v>
      </c>
      <c r="F38" s="237" t="s">
        <v>192</v>
      </c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  <c r="FF38" s="153"/>
      <c r="FG38" s="153"/>
      <c r="FH38" s="153"/>
      <c r="FI38" s="153"/>
      <c r="FJ38" s="153"/>
      <c r="FK38" s="153"/>
      <c r="FL38" s="153"/>
      <c r="FM38" s="153"/>
      <c r="FN38" s="153"/>
      <c r="FO38" s="153"/>
      <c r="FP38" s="153"/>
      <c r="FQ38" s="153"/>
      <c r="FR38" s="153"/>
      <c r="FS38" s="153"/>
      <c r="FT38" s="153"/>
      <c r="FU38" s="153"/>
      <c r="FV38" s="153"/>
      <c r="FW38" s="153"/>
      <c r="FX38" s="153"/>
      <c r="FY38" s="153"/>
      <c r="FZ38" s="153"/>
      <c r="GA38" s="153"/>
      <c r="GB38" s="153"/>
      <c r="GC38" s="153"/>
      <c r="GD38" s="153"/>
      <c r="GE38" s="153"/>
      <c r="GF38" s="153"/>
      <c r="GG38" s="153"/>
      <c r="GH38" s="153"/>
      <c r="GI38" s="153"/>
      <c r="GJ38" s="153"/>
      <c r="GK38" s="153"/>
      <c r="GL38" s="153"/>
      <c r="GM38" s="153"/>
      <c r="GN38" s="153"/>
      <c r="GO38" s="153"/>
      <c r="GP38" s="153"/>
      <c r="GQ38" s="153"/>
      <c r="GR38" s="153"/>
      <c r="GS38" s="153"/>
      <c r="GT38" s="153"/>
      <c r="GU38" s="153"/>
      <c r="GV38" s="153"/>
      <c r="GW38" s="153"/>
      <c r="GX38" s="153"/>
      <c r="GY38" s="153"/>
      <c r="GZ38" s="153"/>
      <c r="HA38" s="153"/>
      <c r="HB38" s="153"/>
      <c r="HC38" s="153"/>
      <c r="HD38" s="153"/>
      <c r="HE38" s="153"/>
      <c r="HF38" s="153"/>
      <c r="HG38" s="153"/>
      <c r="HH38" s="153"/>
      <c r="HI38" s="153"/>
      <c r="HJ38" s="153"/>
      <c r="HK38" s="153"/>
      <c r="HL38" s="153"/>
      <c r="HM38" s="153"/>
      <c r="HN38" s="153"/>
      <c r="HO38" s="153"/>
      <c r="HP38" s="153"/>
      <c r="HQ38" s="153"/>
      <c r="HR38" s="153"/>
      <c r="HS38" s="153"/>
      <c r="HT38" s="153"/>
      <c r="HU38" s="153"/>
      <c r="HV38" s="153"/>
      <c r="HW38" s="153"/>
      <c r="HX38" s="153"/>
      <c r="HY38" s="153"/>
      <c r="HZ38" s="153"/>
      <c r="IA38" s="153"/>
      <c r="IB38" s="153"/>
      <c r="IC38" s="153"/>
      <c r="ID38" s="153"/>
      <c r="IE38" s="153"/>
      <c r="IF38" s="153"/>
      <c r="IG38" s="153"/>
      <c r="IH38" s="153"/>
      <c r="II38" s="153"/>
      <c r="IJ38" s="153"/>
      <c r="IK38" s="153"/>
      <c r="IL38" s="153"/>
      <c r="IM38" s="153"/>
      <c r="IN38" s="153"/>
      <c r="IO38" s="153"/>
      <c r="IP38" s="153"/>
      <c r="IQ38" s="153"/>
      <c r="IR38" s="153"/>
      <c r="IS38" s="153"/>
      <c r="IT38" s="153"/>
      <c r="IU38" s="153"/>
      <c r="IV38" s="153"/>
    </row>
    <row r="39" spans="1:256" s="155" customFormat="1" ht="20.25" customHeight="1" x14ac:dyDescent="0.3">
      <c r="A39" s="153"/>
      <c r="B39" s="233" t="s">
        <v>186</v>
      </c>
      <c r="C39" s="234"/>
      <c r="D39" s="235"/>
      <c r="E39" s="236">
        <v>450</v>
      </c>
      <c r="F39" s="238" t="s">
        <v>187</v>
      </c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3"/>
      <c r="DW39" s="153"/>
      <c r="DX39" s="153"/>
      <c r="DY39" s="153"/>
      <c r="DZ39" s="153"/>
      <c r="EA39" s="153"/>
      <c r="EB39" s="153"/>
      <c r="EC39" s="153"/>
      <c r="ED39" s="153"/>
      <c r="EE39" s="153"/>
      <c r="EF39" s="153"/>
      <c r="EG39" s="153"/>
      <c r="EH39" s="153"/>
      <c r="EI39" s="153"/>
      <c r="EJ39" s="153"/>
      <c r="EK39" s="153"/>
      <c r="EL39" s="153"/>
      <c r="EM39" s="153"/>
      <c r="EN39" s="153"/>
      <c r="EO39" s="153"/>
      <c r="EP39" s="153"/>
      <c r="EQ39" s="153"/>
      <c r="ER39" s="153"/>
      <c r="ES39" s="153"/>
      <c r="ET39" s="153"/>
      <c r="EU39" s="153"/>
      <c r="EV39" s="153"/>
      <c r="EW39" s="153"/>
      <c r="EX39" s="153"/>
      <c r="EY39" s="153"/>
      <c r="EZ39" s="153"/>
      <c r="FA39" s="153"/>
      <c r="FB39" s="153"/>
      <c r="FC39" s="153"/>
      <c r="FD39" s="153"/>
      <c r="FE39" s="153"/>
      <c r="FF39" s="153"/>
      <c r="FG39" s="153"/>
      <c r="FH39" s="153"/>
      <c r="FI39" s="153"/>
      <c r="FJ39" s="153"/>
      <c r="FK39" s="153"/>
      <c r="FL39" s="153"/>
      <c r="FM39" s="153"/>
      <c r="FN39" s="153"/>
      <c r="FO39" s="153"/>
      <c r="FP39" s="153"/>
      <c r="FQ39" s="153"/>
      <c r="FR39" s="153"/>
      <c r="FS39" s="153"/>
      <c r="FT39" s="153"/>
      <c r="FU39" s="153"/>
      <c r="FV39" s="153"/>
      <c r="FW39" s="153"/>
      <c r="FX39" s="153"/>
      <c r="FY39" s="153"/>
      <c r="FZ39" s="153"/>
      <c r="GA39" s="153"/>
      <c r="GB39" s="153"/>
      <c r="GC39" s="153"/>
      <c r="GD39" s="153"/>
      <c r="GE39" s="153"/>
      <c r="GF39" s="153"/>
      <c r="GG39" s="153"/>
      <c r="GH39" s="153"/>
      <c r="GI39" s="153"/>
      <c r="GJ39" s="153"/>
      <c r="GK39" s="153"/>
      <c r="GL39" s="153"/>
      <c r="GM39" s="153"/>
      <c r="GN39" s="153"/>
      <c r="GO39" s="153"/>
      <c r="GP39" s="153"/>
      <c r="GQ39" s="153"/>
      <c r="GR39" s="153"/>
      <c r="GS39" s="153"/>
      <c r="GT39" s="153"/>
      <c r="GU39" s="153"/>
      <c r="GV39" s="153"/>
      <c r="GW39" s="153"/>
      <c r="GX39" s="153"/>
      <c r="GY39" s="153"/>
      <c r="GZ39" s="153"/>
      <c r="HA39" s="153"/>
      <c r="HB39" s="153"/>
      <c r="HC39" s="153"/>
      <c r="HD39" s="153"/>
      <c r="HE39" s="153"/>
      <c r="HF39" s="153"/>
      <c r="HG39" s="153"/>
      <c r="HH39" s="153"/>
      <c r="HI39" s="153"/>
      <c r="HJ39" s="153"/>
      <c r="HK39" s="153"/>
      <c r="HL39" s="153"/>
      <c r="HM39" s="153"/>
      <c r="HN39" s="153"/>
      <c r="HO39" s="153"/>
      <c r="HP39" s="153"/>
      <c r="HQ39" s="153"/>
      <c r="HR39" s="153"/>
      <c r="HS39" s="153"/>
      <c r="HT39" s="153"/>
      <c r="HU39" s="153"/>
      <c r="HV39" s="153"/>
      <c r="HW39" s="153"/>
      <c r="HX39" s="153"/>
      <c r="HY39" s="153"/>
      <c r="HZ39" s="153"/>
      <c r="IA39" s="153"/>
      <c r="IB39" s="153"/>
      <c r="IC39" s="153"/>
      <c r="ID39" s="153"/>
      <c r="IE39" s="153"/>
      <c r="IF39" s="153"/>
      <c r="IG39" s="153"/>
      <c r="IH39" s="153"/>
      <c r="II39" s="153"/>
      <c r="IJ39" s="153"/>
      <c r="IK39" s="153"/>
      <c r="IL39" s="153"/>
      <c r="IM39" s="153"/>
      <c r="IN39" s="153"/>
      <c r="IO39" s="153"/>
      <c r="IP39" s="153"/>
      <c r="IQ39" s="153"/>
      <c r="IR39" s="153"/>
      <c r="IS39" s="153"/>
      <c r="IT39" s="153"/>
      <c r="IU39" s="153"/>
      <c r="IV39" s="153"/>
    </row>
    <row r="40" spans="1:256" s="155" customFormat="1" ht="32.25" customHeight="1" x14ac:dyDescent="0.3">
      <c r="A40" s="153"/>
      <c r="B40" s="239" t="s">
        <v>188</v>
      </c>
      <c r="C40" s="234"/>
      <c r="D40" s="235"/>
      <c r="E40" s="236">
        <v>386</v>
      </c>
      <c r="F40" s="238" t="s">
        <v>189</v>
      </c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3"/>
      <c r="DW40" s="153"/>
      <c r="DX40" s="153"/>
      <c r="DY40" s="153"/>
      <c r="DZ40" s="153"/>
      <c r="EA40" s="153"/>
      <c r="EB40" s="153"/>
      <c r="EC40" s="153"/>
      <c r="ED40" s="153"/>
      <c r="EE40" s="153"/>
      <c r="EF40" s="153"/>
      <c r="EG40" s="153"/>
      <c r="EH40" s="153"/>
      <c r="EI40" s="153"/>
      <c r="EJ40" s="153"/>
      <c r="EK40" s="153"/>
      <c r="EL40" s="153"/>
      <c r="EM40" s="153"/>
      <c r="EN40" s="153"/>
      <c r="EO40" s="153"/>
      <c r="EP40" s="153"/>
      <c r="EQ40" s="153"/>
      <c r="ER40" s="153"/>
      <c r="ES40" s="153"/>
      <c r="ET40" s="153"/>
      <c r="EU40" s="153"/>
      <c r="EV40" s="153"/>
      <c r="EW40" s="153"/>
      <c r="EX40" s="153"/>
      <c r="EY40" s="153"/>
      <c r="EZ40" s="153"/>
      <c r="FA40" s="153"/>
      <c r="FB40" s="153"/>
      <c r="FC40" s="153"/>
      <c r="FD40" s="153"/>
      <c r="FE40" s="153"/>
      <c r="FF40" s="153"/>
      <c r="FG40" s="153"/>
      <c r="FH40" s="153"/>
      <c r="FI40" s="153"/>
      <c r="FJ40" s="153"/>
      <c r="FK40" s="153"/>
      <c r="FL40" s="153"/>
      <c r="FM40" s="153"/>
      <c r="FN40" s="153"/>
      <c r="FO40" s="153"/>
      <c r="FP40" s="153"/>
      <c r="FQ40" s="153"/>
      <c r="FR40" s="153"/>
      <c r="FS40" s="153"/>
      <c r="FT40" s="153"/>
      <c r="FU40" s="153"/>
      <c r="FV40" s="153"/>
      <c r="FW40" s="153"/>
      <c r="FX40" s="153"/>
      <c r="FY40" s="153"/>
      <c r="FZ40" s="153"/>
      <c r="GA40" s="153"/>
      <c r="GB40" s="153"/>
      <c r="GC40" s="153"/>
      <c r="GD40" s="153"/>
      <c r="GE40" s="153"/>
      <c r="GF40" s="153"/>
      <c r="GG40" s="153"/>
      <c r="GH40" s="153"/>
      <c r="GI40" s="153"/>
      <c r="GJ40" s="153"/>
      <c r="GK40" s="153"/>
      <c r="GL40" s="153"/>
      <c r="GM40" s="153"/>
      <c r="GN40" s="153"/>
      <c r="GO40" s="153"/>
      <c r="GP40" s="153"/>
      <c r="GQ40" s="153"/>
      <c r="GR40" s="153"/>
      <c r="GS40" s="153"/>
      <c r="GT40" s="153"/>
      <c r="GU40" s="153"/>
      <c r="GV40" s="153"/>
      <c r="GW40" s="153"/>
      <c r="GX40" s="153"/>
      <c r="GY40" s="153"/>
      <c r="GZ40" s="153"/>
      <c r="HA40" s="153"/>
      <c r="HB40" s="153"/>
      <c r="HC40" s="153"/>
      <c r="HD40" s="153"/>
      <c r="HE40" s="153"/>
      <c r="HF40" s="153"/>
      <c r="HG40" s="153"/>
      <c r="HH40" s="153"/>
      <c r="HI40" s="153"/>
      <c r="HJ40" s="153"/>
      <c r="HK40" s="153"/>
      <c r="HL40" s="153"/>
      <c r="HM40" s="153"/>
      <c r="HN40" s="153"/>
      <c r="HO40" s="153"/>
      <c r="HP40" s="153"/>
      <c r="HQ40" s="153"/>
      <c r="HR40" s="153"/>
      <c r="HS40" s="153"/>
      <c r="HT40" s="153"/>
      <c r="HU40" s="153"/>
      <c r="HV40" s="153"/>
      <c r="HW40" s="153"/>
      <c r="HX40" s="153"/>
      <c r="HY40" s="153"/>
      <c r="HZ40" s="153"/>
      <c r="IA40" s="153"/>
      <c r="IB40" s="153"/>
      <c r="IC40" s="153"/>
      <c r="ID40" s="153"/>
      <c r="IE40" s="153"/>
      <c r="IF40" s="153"/>
      <c r="IG40" s="153"/>
      <c r="IH40" s="153"/>
      <c r="II40" s="153"/>
      <c r="IJ40" s="153"/>
      <c r="IK40" s="153"/>
      <c r="IL40" s="153"/>
      <c r="IM40" s="153"/>
      <c r="IN40" s="153"/>
      <c r="IO40" s="153"/>
      <c r="IP40" s="153"/>
      <c r="IQ40" s="153"/>
      <c r="IR40" s="153"/>
      <c r="IS40" s="153"/>
      <c r="IT40" s="153"/>
      <c r="IU40" s="153"/>
      <c r="IV40" s="153"/>
    </row>
    <row r="41" spans="1:256" s="155" customFormat="1" ht="21.75" customHeight="1" x14ac:dyDescent="0.3">
      <c r="A41" s="153"/>
      <c r="B41" s="154" t="s">
        <v>163</v>
      </c>
      <c r="C41" s="152">
        <v>1</v>
      </c>
      <c r="D41" s="145"/>
      <c r="E41" s="156">
        <v>9448</v>
      </c>
      <c r="F41" s="154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  <c r="FF41" s="153"/>
      <c r="FG41" s="153"/>
      <c r="FH41" s="153"/>
      <c r="FI41" s="153"/>
      <c r="FJ41" s="153"/>
      <c r="FK41" s="153"/>
      <c r="FL41" s="153"/>
      <c r="FM41" s="153"/>
      <c r="FN41" s="153"/>
      <c r="FO41" s="153"/>
      <c r="FP41" s="153"/>
      <c r="FQ41" s="153"/>
      <c r="FR41" s="153"/>
      <c r="FS41" s="153"/>
      <c r="FT41" s="153"/>
      <c r="FU41" s="153"/>
      <c r="FV41" s="153"/>
      <c r="FW41" s="153"/>
      <c r="FX41" s="153"/>
      <c r="FY41" s="153"/>
      <c r="FZ41" s="153"/>
      <c r="GA41" s="153"/>
      <c r="GB41" s="153"/>
      <c r="GC41" s="153"/>
      <c r="GD41" s="153"/>
      <c r="GE41" s="153"/>
      <c r="GF41" s="153"/>
      <c r="GG41" s="153"/>
      <c r="GH41" s="153"/>
      <c r="GI41" s="153"/>
      <c r="GJ41" s="153"/>
      <c r="GK41" s="153"/>
      <c r="GL41" s="153"/>
      <c r="GM41" s="153"/>
      <c r="GN41" s="153"/>
      <c r="GO41" s="153"/>
      <c r="GP41" s="153"/>
      <c r="GQ41" s="153"/>
      <c r="GR41" s="153"/>
      <c r="GS41" s="153"/>
      <c r="GT41" s="153"/>
      <c r="GU41" s="153"/>
      <c r="GV41" s="153"/>
      <c r="GW41" s="153"/>
      <c r="GX41" s="153"/>
      <c r="GY41" s="153"/>
      <c r="GZ41" s="153"/>
      <c r="HA41" s="153"/>
      <c r="HB41" s="153"/>
      <c r="HC41" s="153"/>
      <c r="HD41" s="153"/>
      <c r="HE41" s="153"/>
      <c r="HF41" s="153"/>
      <c r="HG41" s="153"/>
      <c r="HH41" s="153"/>
      <c r="HI41" s="153"/>
      <c r="HJ41" s="153"/>
      <c r="HK41" s="153"/>
      <c r="HL41" s="153"/>
      <c r="HM41" s="153"/>
      <c r="HN41" s="153"/>
      <c r="HO41" s="153"/>
      <c r="HP41" s="153"/>
      <c r="HQ41" s="153"/>
      <c r="HR41" s="153"/>
      <c r="HS41" s="153"/>
      <c r="HT41" s="153"/>
      <c r="HU41" s="153"/>
      <c r="HV41" s="153"/>
      <c r="HW41" s="153"/>
      <c r="HX41" s="153"/>
      <c r="HY41" s="153"/>
      <c r="HZ41" s="153"/>
      <c r="IA41" s="153"/>
      <c r="IB41" s="153"/>
      <c r="IC41" s="153"/>
      <c r="ID41" s="153"/>
      <c r="IE41" s="153"/>
      <c r="IF41" s="153"/>
      <c r="IG41" s="153"/>
      <c r="IH41" s="153"/>
      <c r="II41" s="153"/>
      <c r="IJ41" s="153"/>
      <c r="IK41" s="153"/>
      <c r="IL41" s="153"/>
      <c r="IM41" s="153"/>
      <c r="IN41" s="153"/>
      <c r="IO41" s="153"/>
      <c r="IP41" s="153"/>
      <c r="IQ41" s="153"/>
      <c r="IR41" s="153"/>
      <c r="IS41" s="153"/>
      <c r="IT41" s="153"/>
      <c r="IU41" s="153"/>
      <c r="IV41" s="153"/>
    </row>
    <row r="42" spans="1:256" s="155" customFormat="1" ht="28.5" customHeight="1" x14ac:dyDescent="0.3">
      <c r="A42" s="153"/>
      <c r="B42" s="214" t="s">
        <v>164</v>
      </c>
      <c r="C42" s="215"/>
      <c r="D42" s="216"/>
      <c r="E42" s="217"/>
      <c r="F42" s="214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  <c r="FF42" s="153"/>
      <c r="FG42" s="153"/>
      <c r="FH42" s="153"/>
      <c r="FI42" s="153"/>
      <c r="FJ42" s="153"/>
      <c r="FK42" s="153"/>
      <c r="FL42" s="153"/>
      <c r="FM42" s="153"/>
      <c r="FN42" s="153"/>
      <c r="FO42" s="153"/>
      <c r="FP42" s="153"/>
      <c r="FQ42" s="153"/>
      <c r="FR42" s="153"/>
      <c r="FS42" s="153"/>
      <c r="FT42" s="153"/>
      <c r="FU42" s="153"/>
      <c r="FV42" s="153"/>
      <c r="FW42" s="153"/>
      <c r="FX42" s="153"/>
      <c r="FY42" s="153"/>
      <c r="FZ42" s="153"/>
      <c r="GA42" s="153"/>
      <c r="GB42" s="153"/>
      <c r="GC42" s="153"/>
      <c r="GD42" s="153"/>
      <c r="GE42" s="153"/>
      <c r="GF42" s="153"/>
      <c r="GG42" s="153"/>
      <c r="GH42" s="153"/>
      <c r="GI42" s="153"/>
      <c r="GJ42" s="153"/>
      <c r="GK42" s="153"/>
      <c r="GL42" s="153"/>
      <c r="GM42" s="153"/>
      <c r="GN42" s="153"/>
      <c r="GO42" s="153"/>
      <c r="GP42" s="153"/>
      <c r="GQ42" s="153"/>
      <c r="GR42" s="153"/>
      <c r="GS42" s="153"/>
      <c r="GT42" s="153"/>
      <c r="GU42" s="153"/>
      <c r="GV42" s="153"/>
      <c r="GW42" s="153"/>
      <c r="GX42" s="153"/>
      <c r="GY42" s="153"/>
      <c r="GZ42" s="153"/>
      <c r="HA42" s="153"/>
      <c r="HB42" s="153"/>
      <c r="HC42" s="153"/>
      <c r="HD42" s="153"/>
      <c r="HE42" s="153"/>
      <c r="HF42" s="153"/>
      <c r="HG42" s="153"/>
      <c r="HH42" s="153"/>
      <c r="HI42" s="153"/>
      <c r="HJ42" s="153"/>
      <c r="HK42" s="153"/>
      <c r="HL42" s="153"/>
      <c r="HM42" s="153"/>
      <c r="HN42" s="153"/>
      <c r="HO42" s="153"/>
      <c r="HP42" s="153"/>
      <c r="HQ42" s="153"/>
      <c r="HR42" s="153"/>
      <c r="HS42" s="153"/>
      <c r="HT42" s="153"/>
      <c r="HU42" s="153"/>
      <c r="HV42" s="153"/>
      <c r="HW42" s="153"/>
      <c r="HX42" s="153"/>
      <c r="HY42" s="153"/>
      <c r="HZ42" s="153"/>
      <c r="IA42" s="153"/>
      <c r="IB42" s="153"/>
      <c r="IC42" s="153"/>
      <c r="ID42" s="153"/>
      <c r="IE42" s="153"/>
      <c r="IF42" s="153"/>
      <c r="IG42" s="153"/>
      <c r="IH42" s="153"/>
      <c r="II42" s="153"/>
      <c r="IJ42" s="153"/>
      <c r="IK42" s="153"/>
      <c r="IL42" s="153"/>
      <c r="IM42" s="153"/>
      <c r="IN42" s="153"/>
      <c r="IO42" s="153"/>
      <c r="IP42" s="153"/>
      <c r="IQ42" s="153"/>
      <c r="IR42" s="153"/>
      <c r="IS42" s="153"/>
      <c r="IT42" s="153"/>
      <c r="IU42" s="153"/>
      <c r="IV42" s="153"/>
    </row>
    <row r="43" spans="1:256" s="155" customFormat="1" ht="18" customHeight="1" x14ac:dyDescent="0.3">
      <c r="A43" s="153"/>
      <c r="B43" s="158" t="s">
        <v>165</v>
      </c>
      <c r="C43" s="152">
        <v>1</v>
      </c>
      <c r="D43" s="145"/>
      <c r="E43" s="156">
        <v>526</v>
      </c>
      <c r="F43" s="154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153"/>
      <c r="DO43" s="153"/>
      <c r="DP43" s="153"/>
      <c r="DQ43" s="153"/>
      <c r="DR43" s="153"/>
      <c r="DS43" s="153"/>
      <c r="DT43" s="153"/>
      <c r="DU43" s="153"/>
      <c r="DV43" s="153"/>
      <c r="DW43" s="153"/>
      <c r="DX43" s="153"/>
      <c r="DY43" s="153"/>
      <c r="DZ43" s="153"/>
      <c r="EA43" s="153"/>
      <c r="EB43" s="153"/>
      <c r="EC43" s="153"/>
      <c r="ED43" s="153"/>
      <c r="EE43" s="153"/>
      <c r="EF43" s="153"/>
      <c r="EG43" s="153"/>
      <c r="EH43" s="153"/>
      <c r="EI43" s="153"/>
      <c r="EJ43" s="153"/>
      <c r="EK43" s="153"/>
      <c r="EL43" s="153"/>
      <c r="EM43" s="153"/>
      <c r="EN43" s="153"/>
      <c r="EO43" s="153"/>
      <c r="EP43" s="153"/>
      <c r="EQ43" s="153"/>
      <c r="ER43" s="153"/>
      <c r="ES43" s="153"/>
      <c r="ET43" s="153"/>
      <c r="EU43" s="153"/>
      <c r="EV43" s="153"/>
      <c r="EW43" s="153"/>
      <c r="EX43" s="153"/>
      <c r="EY43" s="153"/>
      <c r="EZ43" s="153"/>
      <c r="FA43" s="153"/>
      <c r="FB43" s="153"/>
      <c r="FC43" s="153"/>
      <c r="FD43" s="153"/>
      <c r="FE43" s="153"/>
      <c r="FF43" s="153"/>
      <c r="FG43" s="153"/>
      <c r="FH43" s="153"/>
      <c r="FI43" s="153"/>
      <c r="FJ43" s="153"/>
      <c r="FK43" s="153"/>
      <c r="FL43" s="153"/>
      <c r="FM43" s="153"/>
      <c r="FN43" s="153"/>
      <c r="FO43" s="153"/>
      <c r="FP43" s="153"/>
      <c r="FQ43" s="153"/>
      <c r="FR43" s="153"/>
      <c r="FS43" s="153"/>
      <c r="FT43" s="153"/>
      <c r="FU43" s="153"/>
      <c r="FV43" s="153"/>
      <c r="FW43" s="153"/>
      <c r="FX43" s="153"/>
      <c r="FY43" s="153"/>
      <c r="FZ43" s="153"/>
      <c r="GA43" s="153"/>
      <c r="GB43" s="153"/>
      <c r="GC43" s="153"/>
      <c r="GD43" s="153"/>
      <c r="GE43" s="153"/>
      <c r="GF43" s="153"/>
      <c r="GG43" s="153"/>
      <c r="GH43" s="153"/>
      <c r="GI43" s="153"/>
      <c r="GJ43" s="153"/>
      <c r="GK43" s="153"/>
      <c r="GL43" s="153"/>
      <c r="GM43" s="153"/>
      <c r="GN43" s="153"/>
      <c r="GO43" s="153"/>
      <c r="GP43" s="153"/>
      <c r="GQ43" s="153"/>
      <c r="GR43" s="153"/>
      <c r="GS43" s="153"/>
      <c r="GT43" s="153"/>
      <c r="GU43" s="153"/>
      <c r="GV43" s="153"/>
      <c r="GW43" s="153"/>
      <c r="GX43" s="153"/>
      <c r="GY43" s="153"/>
      <c r="GZ43" s="153"/>
      <c r="HA43" s="153"/>
      <c r="HB43" s="153"/>
      <c r="HC43" s="153"/>
      <c r="HD43" s="153"/>
      <c r="HE43" s="153"/>
      <c r="HF43" s="153"/>
      <c r="HG43" s="153"/>
      <c r="HH43" s="153"/>
      <c r="HI43" s="153"/>
      <c r="HJ43" s="153"/>
      <c r="HK43" s="153"/>
      <c r="HL43" s="153"/>
      <c r="HM43" s="153"/>
      <c r="HN43" s="153"/>
      <c r="HO43" s="153"/>
      <c r="HP43" s="153"/>
      <c r="HQ43" s="153"/>
      <c r="HR43" s="153"/>
      <c r="HS43" s="153"/>
      <c r="HT43" s="153"/>
      <c r="HU43" s="153"/>
      <c r="HV43" s="153"/>
      <c r="HW43" s="153"/>
      <c r="HX43" s="153"/>
      <c r="HY43" s="153"/>
      <c r="HZ43" s="153"/>
      <c r="IA43" s="153"/>
      <c r="IB43" s="153"/>
      <c r="IC43" s="153"/>
      <c r="ID43" s="153"/>
      <c r="IE43" s="153"/>
      <c r="IF43" s="153"/>
      <c r="IG43" s="153"/>
      <c r="IH43" s="153"/>
      <c r="II43" s="153"/>
      <c r="IJ43" s="153"/>
      <c r="IK43" s="153"/>
      <c r="IL43" s="153"/>
      <c r="IM43" s="153"/>
      <c r="IN43" s="153"/>
      <c r="IO43" s="153"/>
      <c r="IP43" s="153"/>
      <c r="IQ43" s="153"/>
      <c r="IR43" s="153"/>
      <c r="IS43" s="153"/>
      <c r="IT43" s="153"/>
      <c r="IU43" s="153"/>
      <c r="IV43" s="153"/>
    </row>
    <row r="44" spans="1:256" s="155" customFormat="1" ht="18" customHeight="1" x14ac:dyDescent="0.3">
      <c r="A44" s="153"/>
      <c r="B44" s="158" t="s">
        <v>176</v>
      </c>
      <c r="C44" s="152">
        <v>1</v>
      </c>
      <c r="D44" s="145"/>
      <c r="E44" s="156">
        <v>200</v>
      </c>
      <c r="F44" s="154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53"/>
      <c r="DD44" s="153"/>
      <c r="DE44" s="153"/>
      <c r="DF44" s="153"/>
      <c r="DG44" s="153"/>
      <c r="DH44" s="153"/>
      <c r="DI44" s="153"/>
      <c r="DJ44" s="153"/>
      <c r="DK44" s="153"/>
      <c r="DL44" s="153"/>
      <c r="DM44" s="153"/>
      <c r="DN44" s="153"/>
      <c r="DO44" s="153"/>
      <c r="DP44" s="153"/>
      <c r="DQ44" s="153"/>
      <c r="DR44" s="153"/>
      <c r="DS44" s="153"/>
      <c r="DT44" s="153"/>
      <c r="DU44" s="153"/>
      <c r="DV44" s="153"/>
      <c r="DW44" s="153"/>
      <c r="DX44" s="153"/>
      <c r="DY44" s="153"/>
      <c r="DZ44" s="153"/>
      <c r="EA44" s="153"/>
      <c r="EB44" s="153"/>
      <c r="EC44" s="153"/>
      <c r="ED44" s="153"/>
      <c r="EE44" s="153"/>
      <c r="EF44" s="153"/>
      <c r="EG44" s="153"/>
      <c r="EH44" s="153"/>
      <c r="EI44" s="153"/>
      <c r="EJ44" s="153"/>
      <c r="EK44" s="153"/>
      <c r="EL44" s="153"/>
      <c r="EM44" s="153"/>
      <c r="EN44" s="153"/>
      <c r="EO44" s="153"/>
      <c r="EP44" s="153"/>
      <c r="EQ44" s="153"/>
      <c r="ER44" s="153"/>
      <c r="ES44" s="153"/>
      <c r="ET44" s="153"/>
      <c r="EU44" s="153"/>
      <c r="EV44" s="153"/>
      <c r="EW44" s="153"/>
      <c r="EX44" s="153"/>
      <c r="EY44" s="153"/>
      <c r="EZ44" s="153"/>
      <c r="FA44" s="153"/>
      <c r="FB44" s="153"/>
      <c r="FC44" s="153"/>
      <c r="FD44" s="153"/>
      <c r="FE44" s="153"/>
      <c r="FF44" s="153"/>
      <c r="FG44" s="153"/>
      <c r="FH44" s="153"/>
      <c r="FI44" s="153"/>
      <c r="FJ44" s="153"/>
      <c r="FK44" s="153"/>
      <c r="FL44" s="153"/>
      <c r="FM44" s="153"/>
      <c r="FN44" s="153"/>
      <c r="FO44" s="153"/>
      <c r="FP44" s="153"/>
      <c r="FQ44" s="153"/>
      <c r="FR44" s="153"/>
      <c r="FS44" s="153"/>
      <c r="FT44" s="153"/>
      <c r="FU44" s="153"/>
      <c r="FV44" s="153"/>
      <c r="FW44" s="153"/>
      <c r="FX44" s="153"/>
      <c r="FY44" s="153"/>
      <c r="FZ44" s="153"/>
      <c r="GA44" s="153"/>
      <c r="GB44" s="153"/>
      <c r="GC44" s="153"/>
      <c r="GD44" s="153"/>
      <c r="GE44" s="153"/>
      <c r="GF44" s="153"/>
      <c r="GG44" s="153"/>
      <c r="GH44" s="153"/>
      <c r="GI44" s="153"/>
      <c r="GJ44" s="153"/>
      <c r="GK44" s="153"/>
      <c r="GL44" s="153"/>
      <c r="GM44" s="153"/>
      <c r="GN44" s="153"/>
      <c r="GO44" s="153"/>
      <c r="GP44" s="153"/>
      <c r="GQ44" s="153"/>
      <c r="GR44" s="153"/>
      <c r="GS44" s="153"/>
      <c r="GT44" s="153"/>
      <c r="GU44" s="153"/>
      <c r="GV44" s="153"/>
      <c r="GW44" s="153"/>
      <c r="GX44" s="153"/>
      <c r="GY44" s="153"/>
      <c r="GZ44" s="153"/>
      <c r="HA44" s="153"/>
      <c r="HB44" s="153"/>
      <c r="HC44" s="153"/>
      <c r="HD44" s="153"/>
      <c r="HE44" s="153"/>
      <c r="HF44" s="153"/>
      <c r="HG44" s="153"/>
      <c r="HH44" s="153"/>
      <c r="HI44" s="153"/>
      <c r="HJ44" s="153"/>
      <c r="HK44" s="153"/>
      <c r="HL44" s="153"/>
      <c r="HM44" s="153"/>
      <c r="HN44" s="153"/>
      <c r="HO44" s="153"/>
      <c r="HP44" s="153"/>
      <c r="HQ44" s="153"/>
      <c r="HR44" s="153"/>
      <c r="HS44" s="153"/>
      <c r="HT44" s="153"/>
      <c r="HU44" s="153"/>
      <c r="HV44" s="153"/>
      <c r="HW44" s="153"/>
      <c r="HX44" s="153"/>
      <c r="HY44" s="153"/>
      <c r="HZ44" s="153"/>
      <c r="IA44" s="153"/>
      <c r="IB44" s="153"/>
      <c r="IC44" s="153"/>
      <c r="ID44" s="153"/>
      <c r="IE44" s="153"/>
      <c r="IF44" s="153"/>
      <c r="IG44" s="153"/>
      <c r="IH44" s="153"/>
      <c r="II44" s="153"/>
      <c r="IJ44" s="153"/>
      <c r="IK44" s="153"/>
      <c r="IL44" s="153"/>
      <c r="IM44" s="153"/>
      <c r="IN44" s="153"/>
      <c r="IO44" s="153"/>
      <c r="IP44" s="153"/>
      <c r="IQ44" s="153"/>
      <c r="IR44" s="153"/>
      <c r="IS44" s="153"/>
      <c r="IT44" s="153"/>
      <c r="IU44" s="153"/>
      <c r="IV44" s="153"/>
    </row>
    <row r="45" spans="1:256" s="155" customFormat="1" ht="33" customHeight="1" x14ac:dyDescent="0.3">
      <c r="A45" s="153"/>
      <c r="B45" s="154" t="s">
        <v>166</v>
      </c>
      <c r="C45" s="152">
        <v>1</v>
      </c>
      <c r="D45" s="145"/>
      <c r="E45" s="156">
        <v>350</v>
      </c>
      <c r="F45" s="154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3"/>
      <c r="DB45" s="153"/>
      <c r="DC45" s="153"/>
      <c r="DD45" s="153"/>
      <c r="DE45" s="153"/>
      <c r="DF45" s="153"/>
      <c r="DG45" s="153"/>
      <c r="DH45" s="153"/>
      <c r="DI45" s="153"/>
      <c r="DJ45" s="153"/>
      <c r="DK45" s="153"/>
      <c r="DL45" s="153"/>
      <c r="DM45" s="153"/>
      <c r="DN45" s="153"/>
      <c r="DO45" s="153"/>
      <c r="DP45" s="153"/>
      <c r="DQ45" s="153"/>
      <c r="DR45" s="153"/>
      <c r="DS45" s="153"/>
      <c r="DT45" s="153"/>
      <c r="DU45" s="153"/>
      <c r="DV45" s="153"/>
      <c r="DW45" s="153"/>
      <c r="DX45" s="153"/>
      <c r="DY45" s="153"/>
      <c r="DZ45" s="153"/>
      <c r="EA45" s="153"/>
      <c r="EB45" s="153"/>
      <c r="EC45" s="153"/>
      <c r="ED45" s="153"/>
      <c r="EE45" s="153"/>
      <c r="EF45" s="153"/>
      <c r="EG45" s="153"/>
      <c r="EH45" s="153"/>
      <c r="EI45" s="153"/>
      <c r="EJ45" s="153"/>
      <c r="EK45" s="153"/>
      <c r="EL45" s="153"/>
      <c r="EM45" s="153"/>
      <c r="EN45" s="153"/>
      <c r="EO45" s="153"/>
      <c r="EP45" s="153"/>
      <c r="EQ45" s="153"/>
      <c r="ER45" s="153"/>
      <c r="ES45" s="153"/>
      <c r="ET45" s="153"/>
      <c r="EU45" s="153"/>
      <c r="EV45" s="153"/>
      <c r="EW45" s="153"/>
      <c r="EX45" s="153"/>
      <c r="EY45" s="153"/>
      <c r="EZ45" s="153"/>
      <c r="FA45" s="153"/>
      <c r="FB45" s="153"/>
      <c r="FC45" s="153"/>
      <c r="FD45" s="153"/>
      <c r="FE45" s="153"/>
      <c r="FF45" s="153"/>
      <c r="FG45" s="153"/>
      <c r="FH45" s="153"/>
      <c r="FI45" s="153"/>
      <c r="FJ45" s="153"/>
      <c r="FK45" s="153"/>
      <c r="FL45" s="153"/>
      <c r="FM45" s="153"/>
      <c r="FN45" s="153"/>
      <c r="FO45" s="153"/>
      <c r="FP45" s="153"/>
      <c r="FQ45" s="153"/>
      <c r="FR45" s="153"/>
      <c r="FS45" s="153"/>
      <c r="FT45" s="153"/>
      <c r="FU45" s="153"/>
      <c r="FV45" s="153"/>
      <c r="FW45" s="153"/>
      <c r="FX45" s="153"/>
      <c r="FY45" s="153"/>
      <c r="FZ45" s="153"/>
      <c r="GA45" s="153"/>
      <c r="GB45" s="153"/>
      <c r="GC45" s="153"/>
      <c r="GD45" s="153"/>
      <c r="GE45" s="153"/>
      <c r="GF45" s="153"/>
      <c r="GG45" s="153"/>
      <c r="GH45" s="153"/>
      <c r="GI45" s="153"/>
      <c r="GJ45" s="153"/>
      <c r="GK45" s="153"/>
      <c r="GL45" s="153"/>
      <c r="GM45" s="153"/>
      <c r="GN45" s="153"/>
      <c r="GO45" s="153"/>
      <c r="GP45" s="153"/>
      <c r="GQ45" s="153"/>
      <c r="GR45" s="153"/>
      <c r="GS45" s="153"/>
      <c r="GT45" s="153"/>
      <c r="GU45" s="153"/>
      <c r="GV45" s="153"/>
      <c r="GW45" s="153"/>
      <c r="GX45" s="153"/>
      <c r="GY45" s="153"/>
      <c r="GZ45" s="153"/>
      <c r="HA45" s="153"/>
      <c r="HB45" s="153"/>
      <c r="HC45" s="153"/>
      <c r="HD45" s="153"/>
      <c r="HE45" s="153"/>
      <c r="HF45" s="153"/>
      <c r="HG45" s="153"/>
      <c r="HH45" s="153"/>
      <c r="HI45" s="153"/>
      <c r="HJ45" s="153"/>
      <c r="HK45" s="153"/>
      <c r="HL45" s="153"/>
      <c r="HM45" s="153"/>
      <c r="HN45" s="153"/>
      <c r="HO45" s="153"/>
      <c r="HP45" s="153"/>
      <c r="HQ45" s="153"/>
      <c r="HR45" s="153"/>
      <c r="HS45" s="153"/>
      <c r="HT45" s="153"/>
      <c r="HU45" s="153"/>
      <c r="HV45" s="153"/>
      <c r="HW45" s="153"/>
      <c r="HX45" s="153"/>
      <c r="HY45" s="153"/>
      <c r="HZ45" s="153"/>
      <c r="IA45" s="153"/>
      <c r="IB45" s="153"/>
      <c r="IC45" s="153"/>
      <c r="ID45" s="153"/>
      <c r="IE45" s="153"/>
      <c r="IF45" s="153"/>
      <c r="IG45" s="153"/>
      <c r="IH45" s="153"/>
      <c r="II45" s="153"/>
      <c r="IJ45" s="153"/>
      <c r="IK45" s="153"/>
      <c r="IL45" s="153"/>
      <c r="IM45" s="153"/>
      <c r="IN45" s="153"/>
      <c r="IO45" s="153"/>
      <c r="IP45" s="153"/>
      <c r="IQ45" s="153"/>
      <c r="IR45" s="153"/>
      <c r="IS45" s="153"/>
      <c r="IT45" s="153"/>
      <c r="IU45" s="153"/>
      <c r="IV45" s="153"/>
    </row>
    <row r="46" spans="1:256" s="155" customFormat="1" ht="21.75" customHeight="1" x14ac:dyDescent="0.3">
      <c r="A46" s="153"/>
      <c r="B46" s="158" t="s">
        <v>167</v>
      </c>
      <c r="C46" s="152"/>
      <c r="D46" s="145"/>
      <c r="E46" s="156">
        <v>90</v>
      </c>
      <c r="F46" s="154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3"/>
      <c r="DA46" s="153"/>
      <c r="DB46" s="153"/>
      <c r="DC46" s="153"/>
      <c r="DD46" s="153"/>
      <c r="DE46" s="153"/>
      <c r="DF46" s="153"/>
      <c r="DG46" s="153"/>
      <c r="DH46" s="153"/>
      <c r="DI46" s="153"/>
      <c r="DJ46" s="153"/>
      <c r="DK46" s="153"/>
      <c r="DL46" s="153"/>
      <c r="DM46" s="153"/>
      <c r="DN46" s="153"/>
      <c r="DO46" s="153"/>
      <c r="DP46" s="153"/>
      <c r="DQ46" s="153"/>
      <c r="DR46" s="153"/>
      <c r="DS46" s="153"/>
      <c r="DT46" s="153"/>
      <c r="DU46" s="153"/>
      <c r="DV46" s="153"/>
      <c r="DW46" s="153"/>
      <c r="DX46" s="153"/>
      <c r="DY46" s="153"/>
      <c r="DZ46" s="153"/>
      <c r="EA46" s="153"/>
      <c r="EB46" s="153"/>
      <c r="EC46" s="153"/>
      <c r="ED46" s="153"/>
      <c r="EE46" s="153"/>
      <c r="EF46" s="153"/>
      <c r="EG46" s="153"/>
      <c r="EH46" s="153"/>
      <c r="EI46" s="153"/>
      <c r="EJ46" s="153"/>
      <c r="EK46" s="153"/>
      <c r="EL46" s="153"/>
      <c r="EM46" s="153"/>
      <c r="EN46" s="153"/>
      <c r="EO46" s="153"/>
      <c r="EP46" s="153"/>
      <c r="EQ46" s="153"/>
      <c r="ER46" s="153"/>
      <c r="ES46" s="153"/>
      <c r="ET46" s="153"/>
      <c r="EU46" s="153"/>
      <c r="EV46" s="153"/>
      <c r="EW46" s="153"/>
      <c r="EX46" s="153"/>
      <c r="EY46" s="153"/>
      <c r="EZ46" s="153"/>
      <c r="FA46" s="153"/>
      <c r="FB46" s="153"/>
      <c r="FC46" s="153"/>
      <c r="FD46" s="153"/>
      <c r="FE46" s="153"/>
      <c r="FF46" s="153"/>
      <c r="FG46" s="153"/>
      <c r="FH46" s="153"/>
      <c r="FI46" s="153"/>
      <c r="FJ46" s="153"/>
      <c r="FK46" s="153"/>
      <c r="FL46" s="153"/>
      <c r="FM46" s="153"/>
      <c r="FN46" s="153"/>
      <c r="FO46" s="153"/>
      <c r="FP46" s="153"/>
      <c r="FQ46" s="153"/>
      <c r="FR46" s="153"/>
      <c r="FS46" s="153"/>
      <c r="FT46" s="153"/>
      <c r="FU46" s="153"/>
      <c r="FV46" s="153"/>
      <c r="FW46" s="153"/>
      <c r="FX46" s="153"/>
      <c r="FY46" s="153"/>
      <c r="FZ46" s="153"/>
      <c r="GA46" s="153"/>
      <c r="GB46" s="153"/>
      <c r="GC46" s="153"/>
      <c r="GD46" s="153"/>
      <c r="GE46" s="153"/>
      <c r="GF46" s="153"/>
      <c r="GG46" s="153"/>
      <c r="GH46" s="153"/>
      <c r="GI46" s="153"/>
      <c r="GJ46" s="153"/>
      <c r="GK46" s="153"/>
      <c r="GL46" s="153"/>
      <c r="GM46" s="153"/>
      <c r="GN46" s="153"/>
      <c r="GO46" s="153"/>
      <c r="GP46" s="153"/>
      <c r="GQ46" s="153"/>
      <c r="GR46" s="153"/>
      <c r="GS46" s="153"/>
      <c r="GT46" s="153"/>
      <c r="GU46" s="153"/>
      <c r="GV46" s="153"/>
      <c r="GW46" s="153"/>
      <c r="GX46" s="153"/>
      <c r="GY46" s="153"/>
      <c r="GZ46" s="153"/>
      <c r="HA46" s="153"/>
      <c r="HB46" s="153"/>
      <c r="HC46" s="153"/>
      <c r="HD46" s="153"/>
      <c r="HE46" s="153"/>
      <c r="HF46" s="153"/>
      <c r="HG46" s="153"/>
      <c r="HH46" s="153"/>
      <c r="HI46" s="153"/>
      <c r="HJ46" s="153"/>
      <c r="HK46" s="153"/>
      <c r="HL46" s="153"/>
      <c r="HM46" s="153"/>
      <c r="HN46" s="153"/>
      <c r="HO46" s="153"/>
      <c r="HP46" s="153"/>
      <c r="HQ46" s="153"/>
      <c r="HR46" s="153"/>
      <c r="HS46" s="153"/>
      <c r="HT46" s="153"/>
      <c r="HU46" s="153"/>
      <c r="HV46" s="153"/>
      <c r="HW46" s="153"/>
      <c r="HX46" s="153"/>
      <c r="HY46" s="153"/>
      <c r="HZ46" s="153"/>
      <c r="IA46" s="153"/>
      <c r="IB46" s="153"/>
      <c r="IC46" s="153"/>
      <c r="ID46" s="153"/>
      <c r="IE46" s="153"/>
      <c r="IF46" s="153"/>
      <c r="IG46" s="153"/>
      <c r="IH46" s="153"/>
      <c r="II46" s="153"/>
      <c r="IJ46" s="153"/>
      <c r="IK46" s="153"/>
      <c r="IL46" s="153"/>
      <c r="IM46" s="153"/>
      <c r="IN46" s="153"/>
      <c r="IO46" s="153"/>
      <c r="IP46" s="153"/>
      <c r="IQ46" s="153"/>
      <c r="IR46" s="153"/>
      <c r="IS46" s="153"/>
      <c r="IT46" s="153"/>
      <c r="IU46" s="153"/>
      <c r="IV46" s="153"/>
    </row>
    <row r="47" spans="1:256" s="155" customFormat="1" ht="19.5" customHeight="1" x14ac:dyDescent="0.3">
      <c r="A47" s="153"/>
      <c r="B47" s="219" t="s">
        <v>168</v>
      </c>
      <c r="C47" s="209"/>
      <c r="D47" s="213"/>
      <c r="E47" s="210"/>
      <c r="F47" s="218"/>
      <c r="G47" s="153"/>
      <c r="H47" s="153"/>
      <c r="I47" s="153"/>
      <c r="J47" s="153"/>
      <c r="K47" s="153" t="s">
        <v>191</v>
      </c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3"/>
      <c r="DA47" s="153"/>
      <c r="DB47" s="153"/>
      <c r="DC47" s="153"/>
      <c r="DD47" s="153"/>
      <c r="DE47" s="153"/>
      <c r="DF47" s="153"/>
      <c r="DG47" s="153"/>
      <c r="DH47" s="153"/>
      <c r="DI47" s="153"/>
      <c r="DJ47" s="153"/>
      <c r="DK47" s="153"/>
      <c r="DL47" s="153"/>
      <c r="DM47" s="153"/>
      <c r="DN47" s="153"/>
      <c r="DO47" s="153"/>
      <c r="DP47" s="153"/>
      <c r="DQ47" s="153"/>
      <c r="DR47" s="153"/>
      <c r="DS47" s="153"/>
      <c r="DT47" s="153"/>
      <c r="DU47" s="153"/>
      <c r="DV47" s="153"/>
      <c r="DW47" s="153"/>
      <c r="DX47" s="153"/>
      <c r="DY47" s="153"/>
      <c r="DZ47" s="153"/>
      <c r="EA47" s="153"/>
      <c r="EB47" s="153"/>
      <c r="EC47" s="153"/>
      <c r="ED47" s="153"/>
      <c r="EE47" s="153"/>
      <c r="EF47" s="153"/>
      <c r="EG47" s="153"/>
      <c r="EH47" s="153"/>
      <c r="EI47" s="153"/>
      <c r="EJ47" s="153"/>
      <c r="EK47" s="153"/>
      <c r="EL47" s="153"/>
      <c r="EM47" s="153"/>
      <c r="EN47" s="153"/>
      <c r="EO47" s="153"/>
      <c r="EP47" s="153"/>
      <c r="EQ47" s="153"/>
      <c r="ER47" s="153"/>
      <c r="ES47" s="153"/>
      <c r="ET47" s="153"/>
      <c r="EU47" s="153"/>
      <c r="EV47" s="153"/>
      <c r="EW47" s="153"/>
      <c r="EX47" s="153"/>
      <c r="EY47" s="153"/>
      <c r="EZ47" s="153"/>
      <c r="FA47" s="153"/>
      <c r="FB47" s="153"/>
      <c r="FC47" s="153"/>
      <c r="FD47" s="153"/>
      <c r="FE47" s="153"/>
      <c r="FF47" s="153"/>
      <c r="FG47" s="153"/>
      <c r="FH47" s="153"/>
      <c r="FI47" s="153"/>
      <c r="FJ47" s="153"/>
      <c r="FK47" s="153"/>
      <c r="FL47" s="153"/>
      <c r="FM47" s="153"/>
      <c r="FN47" s="153"/>
      <c r="FO47" s="153"/>
      <c r="FP47" s="153"/>
      <c r="FQ47" s="153"/>
      <c r="FR47" s="153"/>
      <c r="FS47" s="153"/>
      <c r="FT47" s="153"/>
      <c r="FU47" s="153"/>
      <c r="FV47" s="153"/>
      <c r="FW47" s="153"/>
      <c r="FX47" s="153"/>
      <c r="FY47" s="153"/>
      <c r="FZ47" s="153"/>
      <c r="GA47" s="153"/>
      <c r="GB47" s="153"/>
      <c r="GC47" s="153"/>
      <c r="GD47" s="153"/>
      <c r="GE47" s="153"/>
      <c r="GF47" s="153"/>
      <c r="GG47" s="153"/>
      <c r="GH47" s="153"/>
      <c r="GI47" s="153"/>
      <c r="GJ47" s="153"/>
      <c r="GK47" s="153"/>
      <c r="GL47" s="153"/>
      <c r="GM47" s="153"/>
      <c r="GN47" s="153"/>
      <c r="GO47" s="153"/>
      <c r="GP47" s="153"/>
      <c r="GQ47" s="153"/>
      <c r="GR47" s="153"/>
      <c r="GS47" s="153"/>
      <c r="GT47" s="153"/>
      <c r="GU47" s="153"/>
      <c r="GV47" s="153"/>
      <c r="GW47" s="153"/>
      <c r="GX47" s="153"/>
      <c r="GY47" s="153"/>
      <c r="GZ47" s="153"/>
      <c r="HA47" s="153"/>
      <c r="HB47" s="153"/>
      <c r="HC47" s="153"/>
      <c r="HD47" s="153"/>
      <c r="HE47" s="153"/>
      <c r="HF47" s="153"/>
      <c r="HG47" s="153"/>
      <c r="HH47" s="153"/>
      <c r="HI47" s="153"/>
      <c r="HJ47" s="153"/>
      <c r="HK47" s="153"/>
      <c r="HL47" s="153"/>
      <c r="HM47" s="153"/>
      <c r="HN47" s="153"/>
      <c r="HO47" s="153"/>
      <c r="HP47" s="153"/>
      <c r="HQ47" s="153"/>
      <c r="HR47" s="153"/>
      <c r="HS47" s="153"/>
      <c r="HT47" s="153"/>
      <c r="HU47" s="153"/>
      <c r="HV47" s="153"/>
      <c r="HW47" s="153"/>
      <c r="HX47" s="153"/>
      <c r="HY47" s="153"/>
      <c r="HZ47" s="153"/>
      <c r="IA47" s="153"/>
      <c r="IB47" s="153"/>
      <c r="IC47" s="153"/>
      <c r="ID47" s="153"/>
      <c r="IE47" s="153"/>
      <c r="IF47" s="153"/>
      <c r="IG47" s="153"/>
      <c r="IH47" s="153"/>
      <c r="II47" s="153"/>
      <c r="IJ47" s="153"/>
      <c r="IK47" s="153"/>
      <c r="IL47" s="153"/>
      <c r="IM47" s="153"/>
      <c r="IN47" s="153"/>
      <c r="IO47" s="153"/>
      <c r="IP47" s="153"/>
      <c r="IQ47" s="153"/>
      <c r="IR47" s="153"/>
      <c r="IS47" s="153"/>
      <c r="IT47" s="153"/>
      <c r="IU47" s="153"/>
      <c r="IV47" s="153"/>
    </row>
    <row r="48" spans="1:256" s="155" customFormat="1" ht="31.2" hidden="1" x14ac:dyDescent="0.3">
      <c r="A48" s="153"/>
      <c r="B48" s="220" t="s">
        <v>181</v>
      </c>
      <c r="C48" s="152">
        <v>1</v>
      </c>
      <c r="D48" s="145"/>
      <c r="E48" s="156">
        <v>1800</v>
      </c>
      <c r="F48" s="157" t="s">
        <v>182</v>
      </c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53"/>
      <c r="CH48" s="153"/>
      <c r="CI48" s="153"/>
      <c r="CJ48" s="153"/>
      <c r="CK48" s="153"/>
      <c r="CL48" s="153"/>
      <c r="CM48" s="153"/>
      <c r="CN48" s="153"/>
      <c r="CO48" s="153"/>
      <c r="CP48" s="153"/>
      <c r="CQ48" s="153"/>
      <c r="CR48" s="153"/>
      <c r="CS48" s="153"/>
      <c r="CT48" s="153"/>
      <c r="CU48" s="153"/>
      <c r="CV48" s="153"/>
      <c r="CW48" s="153"/>
      <c r="CX48" s="153"/>
      <c r="CY48" s="153"/>
      <c r="CZ48" s="153"/>
      <c r="DA48" s="153"/>
      <c r="DB48" s="153"/>
      <c r="DC48" s="153"/>
      <c r="DD48" s="153"/>
      <c r="DE48" s="153"/>
      <c r="DF48" s="153"/>
      <c r="DG48" s="153"/>
      <c r="DH48" s="153"/>
      <c r="DI48" s="153"/>
      <c r="DJ48" s="153"/>
      <c r="DK48" s="153"/>
      <c r="DL48" s="153"/>
      <c r="DM48" s="153"/>
      <c r="DN48" s="153"/>
      <c r="DO48" s="153"/>
      <c r="DP48" s="153"/>
      <c r="DQ48" s="153"/>
      <c r="DR48" s="153"/>
      <c r="DS48" s="153"/>
      <c r="DT48" s="153"/>
      <c r="DU48" s="153"/>
      <c r="DV48" s="153"/>
      <c r="DW48" s="153"/>
      <c r="DX48" s="153"/>
      <c r="DY48" s="153"/>
      <c r="DZ48" s="153"/>
      <c r="EA48" s="153"/>
      <c r="EB48" s="153"/>
      <c r="EC48" s="153"/>
      <c r="ED48" s="153"/>
      <c r="EE48" s="153"/>
      <c r="EF48" s="153"/>
      <c r="EG48" s="153"/>
      <c r="EH48" s="153"/>
      <c r="EI48" s="153"/>
      <c r="EJ48" s="153"/>
      <c r="EK48" s="153"/>
      <c r="EL48" s="153"/>
      <c r="EM48" s="153"/>
      <c r="EN48" s="153"/>
      <c r="EO48" s="153"/>
      <c r="EP48" s="153"/>
      <c r="EQ48" s="153"/>
      <c r="ER48" s="153"/>
      <c r="ES48" s="153"/>
      <c r="ET48" s="153"/>
      <c r="EU48" s="153"/>
      <c r="EV48" s="153"/>
      <c r="EW48" s="153"/>
      <c r="EX48" s="153"/>
      <c r="EY48" s="153"/>
      <c r="EZ48" s="153"/>
      <c r="FA48" s="153"/>
      <c r="FB48" s="153"/>
      <c r="FC48" s="153"/>
      <c r="FD48" s="153"/>
      <c r="FE48" s="153"/>
      <c r="FF48" s="153"/>
      <c r="FG48" s="153"/>
      <c r="FH48" s="153"/>
      <c r="FI48" s="153"/>
      <c r="FJ48" s="153"/>
      <c r="FK48" s="153"/>
      <c r="FL48" s="153"/>
      <c r="FM48" s="153"/>
      <c r="FN48" s="153"/>
      <c r="FO48" s="153"/>
      <c r="FP48" s="153"/>
      <c r="FQ48" s="153"/>
      <c r="FR48" s="153"/>
      <c r="FS48" s="153"/>
      <c r="FT48" s="153"/>
      <c r="FU48" s="153"/>
      <c r="FV48" s="153"/>
      <c r="FW48" s="153"/>
      <c r="FX48" s="153"/>
      <c r="FY48" s="153"/>
      <c r="FZ48" s="153"/>
      <c r="GA48" s="153"/>
      <c r="GB48" s="153"/>
      <c r="GC48" s="153"/>
      <c r="GD48" s="153"/>
      <c r="GE48" s="153"/>
      <c r="GF48" s="153"/>
      <c r="GG48" s="153"/>
      <c r="GH48" s="153"/>
      <c r="GI48" s="153"/>
      <c r="GJ48" s="153"/>
      <c r="GK48" s="153"/>
      <c r="GL48" s="153"/>
      <c r="GM48" s="153"/>
      <c r="GN48" s="153"/>
      <c r="GO48" s="153"/>
      <c r="GP48" s="153"/>
      <c r="GQ48" s="153"/>
      <c r="GR48" s="153"/>
      <c r="GS48" s="153"/>
      <c r="GT48" s="153"/>
      <c r="GU48" s="153"/>
      <c r="GV48" s="153"/>
      <c r="GW48" s="153"/>
      <c r="GX48" s="153"/>
      <c r="GY48" s="153"/>
      <c r="GZ48" s="153"/>
      <c r="HA48" s="153"/>
      <c r="HB48" s="153"/>
      <c r="HC48" s="153"/>
      <c r="HD48" s="153"/>
      <c r="HE48" s="153"/>
      <c r="HF48" s="153"/>
      <c r="HG48" s="153"/>
      <c r="HH48" s="153"/>
      <c r="HI48" s="153"/>
      <c r="HJ48" s="153"/>
      <c r="HK48" s="153"/>
      <c r="HL48" s="153"/>
      <c r="HM48" s="153"/>
      <c r="HN48" s="153"/>
      <c r="HO48" s="153"/>
      <c r="HP48" s="153"/>
      <c r="HQ48" s="153"/>
      <c r="HR48" s="153"/>
      <c r="HS48" s="153"/>
      <c r="HT48" s="153"/>
      <c r="HU48" s="153"/>
      <c r="HV48" s="153"/>
      <c r="HW48" s="153"/>
      <c r="HX48" s="153"/>
      <c r="HY48" s="153"/>
      <c r="HZ48" s="153"/>
      <c r="IA48" s="153"/>
      <c r="IB48" s="153"/>
      <c r="IC48" s="153"/>
      <c r="ID48" s="153"/>
      <c r="IE48" s="153"/>
      <c r="IF48" s="153"/>
      <c r="IG48" s="153"/>
      <c r="IH48" s="153"/>
      <c r="II48" s="153"/>
      <c r="IJ48" s="153"/>
      <c r="IK48" s="153"/>
      <c r="IL48" s="153"/>
      <c r="IM48" s="153"/>
      <c r="IN48" s="153"/>
      <c r="IO48" s="153"/>
      <c r="IP48" s="153"/>
      <c r="IQ48" s="153"/>
      <c r="IR48" s="153"/>
      <c r="IS48" s="153"/>
      <c r="IT48" s="153"/>
      <c r="IU48" s="153"/>
      <c r="IV48" s="153"/>
    </row>
    <row r="49" spans="1:256" s="155" customFormat="1" ht="31.8" x14ac:dyDescent="0.35">
      <c r="A49" s="153"/>
      <c r="B49" s="240" t="s">
        <v>190</v>
      </c>
      <c r="C49" s="234">
        <v>1</v>
      </c>
      <c r="D49" s="235"/>
      <c r="E49" s="236">
        <v>600</v>
      </c>
      <c r="F49" s="238"/>
      <c r="G49" s="153"/>
      <c r="H49" s="153"/>
      <c r="I49" s="153"/>
      <c r="J49" s="153"/>
      <c r="K49" s="242" t="s">
        <v>12</v>
      </c>
      <c r="L49" s="241">
        <f>E38+E39+E40+E49</f>
        <v>1856</v>
      </c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3"/>
      <c r="CN49" s="153"/>
      <c r="CO49" s="153"/>
      <c r="CP49" s="153"/>
      <c r="CQ49" s="153"/>
      <c r="CR49" s="153"/>
      <c r="CS49" s="153"/>
      <c r="CT49" s="153"/>
      <c r="CU49" s="153"/>
      <c r="CV49" s="153"/>
      <c r="CW49" s="153"/>
      <c r="CX49" s="153"/>
      <c r="CY49" s="153"/>
      <c r="CZ49" s="153"/>
      <c r="DA49" s="153"/>
      <c r="DB49" s="153"/>
      <c r="DC49" s="153"/>
      <c r="DD49" s="153"/>
      <c r="DE49" s="153"/>
      <c r="DF49" s="153"/>
      <c r="DG49" s="153"/>
      <c r="DH49" s="153"/>
      <c r="DI49" s="153"/>
      <c r="DJ49" s="153"/>
      <c r="DK49" s="153"/>
      <c r="DL49" s="153"/>
      <c r="DM49" s="153"/>
      <c r="DN49" s="153"/>
      <c r="DO49" s="153"/>
      <c r="DP49" s="153"/>
      <c r="DQ49" s="153"/>
      <c r="DR49" s="153"/>
      <c r="DS49" s="153"/>
      <c r="DT49" s="153"/>
      <c r="DU49" s="153"/>
      <c r="DV49" s="153"/>
      <c r="DW49" s="153"/>
      <c r="DX49" s="153"/>
      <c r="DY49" s="153"/>
      <c r="DZ49" s="153"/>
      <c r="EA49" s="153"/>
      <c r="EB49" s="153"/>
      <c r="EC49" s="153"/>
      <c r="ED49" s="153"/>
      <c r="EE49" s="153"/>
      <c r="EF49" s="153"/>
      <c r="EG49" s="153"/>
      <c r="EH49" s="153"/>
      <c r="EI49" s="153"/>
      <c r="EJ49" s="153"/>
      <c r="EK49" s="153"/>
      <c r="EL49" s="153"/>
      <c r="EM49" s="153"/>
      <c r="EN49" s="153"/>
      <c r="EO49" s="153"/>
      <c r="EP49" s="153"/>
      <c r="EQ49" s="153"/>
      <c r="ER49" s="153"/>
      <c r="ES49" s="153"/>
      <c r="ET49" s="153"/>
      <c r="EU49" s="153"/>
      <c r="EV49" s="153"/>
      <c r="EW49" s="153"/>
      <c r="EX49" s="153"/>
      <c r="EY49" s="153"/>
      <c r="EZ49" s="153"/>
      <c r="FA49" s="153"/>
      <c r="FB49" s="153"/>
      <c r="FC49" s="153"/>
      <c r="FD49" s="153"/>
      <c r="FE49" s="153"/>
      <c r="FF49" s="153"/>
      <c r="FG49" s="153"/>
      <c r="FH49" s="153"/>
      <c r="FI49" s="153"/>
      <c r="FJ49" s="153"/>
      <c r="FK49" s="153"/>
      <c r="FL49" s="153"/>
      <c r="FM49" s="153"/>
      <c r="FN49" s="153"/>
      <c r="FO49" s="153"/>
      <c r="FP49" s="153"/>
      <c r="FQ49" s="153"/>
      <c r="FR49" s="153"/>
      <c r="FS49" s="153"/>
      <c r="FT49" s="153"/>
      <c r="FU49" s="153"/>
      <c r="FV49" s="153"/>
      <c r="FW49" s="153"/>
      <c r="FX49" s="153"/>
      <c r="FY49" s="153"/>
      <c r="FZ49" s="153"/>
      <c r="GA49" s="153"/>
      <c r="GB49" s="153"/>
      <c r="GC49" s="153"/>
      <c r="GD49" s="153"/>
      <c r="GE49" s="153"/>
      <c r="GF49" s="153"/>
      <c r="GG49" s="153"/>
      <c r="GH49" s="153"/>
      <c r="GI49" s="153"/>
      <c r="GJ49" s="153"/>
      <c r="GK49" s="153"/>
      <c r="GL49" s="153"/>
      <c r="GM49" s="153"/>
      <c r="GN49" s="153"/>
      <c r="GO49" s="153"/>
      <c r="GP49" s="153"/>
      <c r="GQ49" s="153"/>
      <c r="GR49" s="153"/>
      <c r="GS49" s="153"/>
      <c r="GT49" s="153"/>
      <c r="GU49" s="153"/>
      <c r="GV49" s="153"/>
      <c r="GW49" s="153"/>
      <c r="GX49" s="153"/>
      <c r="GY49" s="153"/>
      <c r="GZ49" s="153"/>
      <c r="HA49" s="153"/>
      <c r="HB49" s="153"/>
      <c r="HC49" s="153"/>
      <c r="HD49" s="153"/>
      <c r="HE49" s="153"/>
      <c r="HF49" s="153"/>
      <c r="HG49" s="153"/>
      <c r="HH49" s="153"/>
      <c r="HI49" s="153"/>
      <c r="HJ49" s="153"/>
      <c r="HK49" s="153"/>
      <c r="HL49" s="153"/>
      <c r="HM49" s="153"/>
      <c r="HN49" s="153"/>
      <c r="HO49" s="153"/>
      <c r="HP49" s="153"/>
      <c r="HQ49" s="153"/>
      <c r="HR49" s="153"/>
      <c r="HS49" s="153"/>
      <c r="HT49" s="153"/>
      <c r="HU49" s="153"/>
      <c r="HV49" s="153"/>
      <c r="HW49" s="153"/>
      <c r="HX49" s="153"/>
      <c r="HY49" s="153"/>
      <c r="HZ49" s="153"/>
      <c r="IA49" s="153"/>
      <c r="IB49" s="153"/>
      <c r="IC49" s="153"/>
      <c r="ID49" s="153"/>
      <c r="IE49" s="153"/>
      <c r="IF49" s="153"/>
      <c r="IG49" s="153"/>
      <c r="IH49" s="153"/>
      <c r="II49" s="153"/>
      <c r="IJ49" s="153"/>
      <c r="IK49" s="153"/>
      <c r="IL49" s="153"/>
      <c r="IM49" s="153"/>
      <c r="IN49" s="153"/>
      <c r="IO49" s="153"/>
      <c r="IP49" s="153"/>
      <c r="IQ49" s="153"/>
      <c r="IR49" s="153"/>
      <c r="IS49" s="153"/>
      <c r="IT49" s="153"/>
      <c r="IU49" s="153"/>
      <c r="IV49" s="153"/>
    </row>
    <row r="50" spans="1:256" s="155" customFormat="1" ht="34.5" customHeight="1" x14ac:dyDescent="0.3">
      <c r="A50" s="153"/>
      <c r="B50" s="220" t="s">
        <v>177</v>
      </c>
      <c r="C50" s="152">
        <v>1</v>
      </c>
      <c r="D50" s="145"/>
      <c r="E50" s="156">
        <v>200</v>
      </c>
      <c r="F50" s="157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  <c r="BS50" s="153"/>
      <c r="BT50" s="153"/>
      <c r="BU50" s="153"/>
      <c r="BV50" s="153"/>
      <c r="BW50" s="153"/>
      <c r="BX50" s="153"/>
      <c r="BY50" s="153"/>
      <c r="BZ50" s="153"/>
      <c r="CA50" s="153"/>
      <c r="CB50" s="153"/>
      <c r="CC50" s="153"/>
      <c r="CD50" s="153"/>
      <c r="CE50" s="153"/>
      <c r="CF50" s="153"/>
      <c r="CG50" s="153"/>
      <c r="CH50" s="153"/>
      <c r="CI50" s="153"/>
      <c r="CJ50" s="153"/>
      <c r="CK50" s="153"/>
      <c r="CL50" s="153"/>
      <c r="CM50" s="153"/>
      <c r="CN50" s="153"/>
      <c r="CO50" s="153"/>
      <c r="CP50" s="153"/>
      <c r="CQ50" s="153"/>
      <c r="CR50" s="153"/>
      <c r="CS50" s="153"/>
      <c r="CT50" s="153"/>
      <c r="CU50" s="153"/>
      <c r="CV50" s="153"/>
      <c r="CW50" s="153"/>
      <c r="CX50" s="153"/>
      <c r="CY50" s="153"/>
      <c r="CZ50" s="153"/>
      <c r="DA50" s="153"/>
      <c r="DB50" s="153"/>
      <c r="DC50" s="153"/>
      <c r="DD50" s="153"/>
      <c r="DE50" s="153"/>
      <c r="DF50" s="153"/>
      <c r="DG50" s="153"/>
      <c r="DH50" s="153"/>
      <c r="DI50" s="153"/>
      <c r="DJ50" s="153"/>
      <c r="DK50" s="153"/>
      <c r="DL50" s="153"/>
      <c r="DM50" s="153"/>
      <c r="DN50" s="153"/>
      <c r="DO50" s="153"/>
      <c r="DP50" s="153"/>
      <c r="DQ50" s="153"/>
      <c r="DR50" s="153"/>
      <c r="DS50" s="153"/>
      <c r="DT50" s="153"/>
      <c r="DU50" s="153"/>
      <c r="DV50" s="153"/>
      <c r="DW50" s="153"/>
      <c r="DX50" s="153"/>
      <c r="DY50" s="153"/>
      <c r="DZ50" s="153"/>
      <c r="EA50" s="153"/>
      <c r="EB50" s="153"/>
      <c r="EC50" s="153"/>
      <c r="ED50" s="153"/>
      <c r="EE50" s="153"/>
      <c r="EF50" s="153"/>
      <c r="EG50" s="153"/>
      <c r="EH50" s="153"/>
      <c r="EI50" s="153"/>
      <c r="EJ50" s="153"/>
      <c r="EK50" s="153"/>
      <c r="EL50" s="153"/>
      <c r="EM50" s="153"/>
      <c r="EN50" s="153"/>
      <c r="EO50" s="153"/>
      <c r="EP50" s="153"/>
      <c r="EQ50" s="153"/>
      <c r="ER50" s="153"/>
      <c r="ES50" s="153"/>
      <c r="ET50" s="153"/>
      <c r="EU50" s="153"/>
      <c r="EV50" s="153"/>
      <c r="EW50" s="153"/>
      <c r="EX50" s="153"/>
      <c r="EY50" s="153"/>
      <c r="EZ50" s="153"/>
      <c r="FA50" s="153"/>
      <c r="FB50" s="153"/>
      <c r="FC50" s="153"/>
      <c r="FD50" s="153"/>
      <c r="FE50" s="153"/>
      <c r="FF50" s="153"/>
      <c r="FG50" s="153"/>
      <c r="FH50" s="153"/>
      <c r="FI50" s="153"/>
      <c r="FJ50" s="153"/>
      <c r="FK50" s="153"/>
      <c r="FL50" s="153"/>
      <c r="FM50" s="153"/>
      <c r="FN50" s="153"/>
      <c r="FO50" s="153"/>
      <c r="FP50" s="153"/>
      <c r="FQ50" s="153"/>
      <c r="FR50" s="153"/>
      <c r="FS50" s="153"/>
      <c r="FT50" s="153"/>
      <c r="FU50" s="153"/>
      <c r="FV50" s="153"/>
      <c r="FW50" s="153"/>
      <c r="FX50" s="153"/>
      <c r="FY50" s="153"/>
      <c r="FZ50" s="153"/>
      <c r="GA50" s="153"/>
      <c r="GB50" s="153"/>
      <c r="GC50" s="153"/>
      <c r="GD50" s="153"/>
      <c r="GE50" s="153"/>
      <c r="GF50" s="153"/>
      <c r="GG50" s="153"/>
      <c r="GH50" s="153"/>
      <c r="GI50" s="153"/>
      <c r="GJ50" s="153"/>
      <c r="GK50" s="153"/>
      <c r="GL50" s="153"/>
      <c r="GM50" s="153"/>
      <c r="GN50" s="153"/>
      <c r="GO50" s="153"/>
      <c r="GP50" s="153"/>
      <c r="GQ50" s="153"/>
      <c r="GR50" s="153"/>
      <c r="GS50" s="153"/>
      <c r="GT50" s="153"/>
      <c r="GU50" s="153"/>
      <c r="GV50" s="153"/>
      <c r="GW50" s="153"/>
      <c r="GX50" s="153"/>
      <c r="GY50" s="153"/>
      <c r="GZ50" s="153"/>
      <c r="HA50" s="153"/>
      <c r="HB50" s="153"/>
      <c r="HC50" s="153"/>
      <c r="HD50" s="153"/>
      <c r="HE50" s="153"/>
      <c r="HF50" s="153"/>
      <c r="HG50" s="153"/>
      <c r="HH50" s="153"/>
      <c r="HI50" s="153"/>
      <c r="HJ50" s="153"/>
      <c r="HK50" s="153"/>
      <c r="HL50" s="153"/>
      <c r="HM50" s="153"/>
      <c r="HN50" s="153"/>
      <c r="HO50" s="153"/>
      <c r="HP50" s="153"/>
      <c r="HQ50" s="153"/>
      <c r="HR50" s="153"/>
      <c r="HS50" s="153"/>
      <c r="HT50" s="153"/>
      <c r="HU50" s="153"/>
      <c r="HV50" s="153"/>
      <c r="HW50" s="153"/>
      <c r="HX50" s="153"/>
      <c r="HY50" s="153"/>
      <c r="HZ50" s="153"/>
      <c r="IA50" s="153"/>
      <c r="IB50" s="153"/>
      <c r="IC50" s="153"/>
      <c r="ID50" s="153"/>
      <c r="IE50" s="153"/>
      <c r="IF50" s="153"/>
      <c r="IG50" s="153"/>
      <c r="IH50" s="153"/>
      <c r="II50" s="153"/>
      <c r="IJ50" s="153"/>
      <c r="IK50" s="153"/>
      <c r="IL50" s="153"/>
      <c r="IM50" s="153"/>
      <c r="IN50" s="153"/>
      <c r="IO50" s="153"/>
      <c r="IP50" s="153"/>
      <c r="IQ50" s="153"/>
      <c r="IR50" s="153"/>
      <c r="IS50" s="153"/>
      <c r="IT50" s="153"/>
      <c r="IU50" s="153"/>
      <c r="IV50" s="153"/>
    </row>
    <row r="51" spans="1:256" s="155" customFormat="1" ht="21" customHeight="1" x14ac:dyDescent="0.3">
      <c r="A51" s="153"/>
      <c r="B51" s="214" t="s">
        <v>169</v>
      </c>
      <c r="C51" s="209"/>
      <c r="D51" s="213"/>
      <c r="E51" s="210"/>
      <c r="F51" s="218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3"/>
      <c r="BO51" s="153"/>
      <c r="BP51" s="153"/>
      <c r="BQ51" s="153"/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3"/>
      <c r="CF51" s="153"/>
      <c r="CG51" s="153"/>
      <c r="CH51" s="153"/>
      <c r="CI51" s="153"/>
      <c r="CJ51" s="153"/>
      <c r="CK51" s="153"/>
      <c r="CL51" s="153"/>
      <c r="CM51" s="153"/>
      <c r="CN51" s="153"/>
      <c r="CO51" s="153"/>
      <c r="CP51" s="153"/>
      <c r="CQ51" s="153"/>
      <c r="CR51" s="153"/>
      <c r="CS51" s="153"/>
      <c r="CT51" s="153"/>
      <c r="CU51" s="153"/>
      <c r="CV51" s="153"/>
      <c r="CW51" s="153"/>
      <c r="CX51" s="153"/>
      <c r="CY51" s="153"/>
      <c r="CZ51" s="153"/>
      <c r="DA51" s="153"/>
      <c r="DB51" s="153"/>
      <c r="DC51" s="153"/>
      <c r="DD51" s="153"/>
      <c r="DE51" s="153"/>
      <c r="DF51" s="153"/>
      <c r="DG51" s="153"/>
      <c r="DH51" s="153"/>
      <c r="DI51" s="153"/>
      <c r="DJ51" s="153"/>
      <c r="DK51" s="153"/>
      <c r="DL51" s="153"/>
      <c r="DM51" s="153"/>
      <c r="DN51" s="153"/>
      <c r="DO51" s="153"/>
      <c r="DP51" s="153"/>
      <c r="DQ51" s="153"/>
      <c r="DR51" s="153"/>
      <c r="DS51" s="153"/>
      <c r="DT51" s="153"/>
      <c r="DU51" s="153"/>
      <c r="DV51" s="153"/>
      <c r="DW51" s="153"/>
      <c r="DX51" s="153"/>
      <c r="DY51" s="153"/>
      <c r="DZ51" s="153"/>
      <c r="EA51" s="153"/>
      <c r="EB51" s="153"/>
      <c r="EC51" s="153"/>
      <c r="ED51" s="153"/>
      <c r="EE51" s="153"/>
      <c r="EF51" s="153"/>
      <c r="EG51" s="153"/>
      <c r="EH51" s="153"/>
      <c r="EI51" s="153"/>
      <c r="EJ51" s="153"/>
      <c r="EK51" s="153"/>
      <c r="EL51" s="153"/>
      <c r="EM51" s="153"/>
      <c r="EN51" s="153"/>
      <c r="EO51" s="153"/>
      <c r="EP51" s="153"/>
      <c r="EQ51" s="153"/>
      <c r="ER51" s="153"/>
      <c r="ES51" s="153"/>
      <c r="ET51" s="153"/>
      <c r="EU51" s="153"/>
      <c r="EV51" s="153"/>
      <c r="EW51" s="153"/>
      <c r="EX51" s="153"/>
      <c r="EY51" s="153"/>
      <c r="EZ51" s="153"/>
      <c r="FA51" s="153"/>
      <c r="FB51" s="153"/>
      <c r="FC51" s="153"/>
      <c r="FD51" s="153"/>
      <c r="FE51" s="153"/>
      <c r="FF51" s="153"/>
      <c r="FG51" s="153"/>
      <c r="FH51" s="153"/>
      <c r="FI51" s="153"/>
      <c r="FJ51" s="153"/>
      <c r="FK51" s="153"/>
      <c r="FL51" s="153"/>
      <c r="FM51" s="153"/>
      <c r="FN51" s="153"/>
      <c r="FO51" s="153"/>
      <c r="FP51" s="153"/>
      <c r="FQ51" s="153"/>
      <c r="FR51" s="153"/>
      <c r="FS51" s="153"/>
      <c r="FT51" s="153"/>
      <c r="FU51" s="153"/>
      <c r="FV51" s="153"/>
      <c r="FW51" s="153"/>
      <c r="FX51" s="153"/>
      <c r="FY51" s="153"/>
      <c r="FZ51" s="153"/>
      <c r="GA51" s="153"/>
      <c r="GB51" s="153"/>
      <c r="GC51" s="153"/>
      <c r="GD51" s="153"/>
      <c r="GE51" s="153"/>
      <c r="GF51" s="153"/>
      <c r="GG51" s="153"/>
      <c r="GH51" s="153"/>
      <c r="GI51" s="153"/>
      <c r="GJ51" s="153"/>
      <c r="GK51" s="153"/>
      <c r="GL51" s="153"/>
      <c r="GM51" s="153"/>
      <c r="GN51" s="153"/>
      <c r="GO51" s="153"/>
      <c r="GP51" s="153"/>
      <c r="GQ51" s="153"/>
      <c r="GR51" s="153"/>
      <c r="GS51" s="153"/>
      <c r="GT51" s="153"/>
      <c r="GU51" s="153"/>
      <c r="GV51" s="153"/>
      <c r="GW51" s="153"/>
      <c r="GX51" s="153"/>
      <c r="GY51" s="153"/>
      <c r="GZ51" s="153"/>
      <c r="HA51" s="153"/>
      <c r="HB51" s="153"/>
      <c r="HC51" s="153"/>
      <c r="HD51" s="153"/>
      <c r="HE51" s="153"/>
      <c r="HF51" s="153"/>
      <c r="HG51" s="153"/>
      <c r="HH51" s="153"/>
      <c r="HI51" s="153"/>
      <c r="HJ51" s="153"/>
      <c r="HK51" s="153"/>
      <c r="HL51" s="153"/>
      <c r="HM51" s="153"/>
      <c r="HN51" s="153"/>
      <c r="HO51" s="153"/>
      <c r="HP51" s="153"/>
      <c r="HQ51" s="153"/>
      <c r="HR51" s="153"/>
      <c r="HS51" s="153"/>
      <c r="HT51" s="153"/>
      <c r="HU51" s="153"/>
      <c r="HV51" s="153"/>
      <c r="HW51" s="153"/>
      <c r="HX51" s="153"/>
      <c r="HY51" s="153"/>
      <c r="HZ51" s="153"/>
      <c r="IA51" s="153"/>
      <c r="IB51" s="153"/>
      <c r="IC51" s="153"/>
      <c r="ID51" s="153"/>
      <c r="IE51" s="153"/>
      <c r="IF51" s="153"/>
      <c r="IG51" s="153"/>
      <c r="IH51" s="153"/>
      <c r="II51" s="153"/>
      <c r="IJ51" s="153"/>
      <c r="IK51" s="153"/>
      <c r="IL51" s="153"/>
      <c r="IM51" s="153"/>
      <c r="IN51" s="153"/>
      <c r="IO51" s="153"/>
      <c r="IP51" s="153"/>
      <c r="IQ51" s="153"/>
      <c r="IR51" s="153"/>
      <c r="IS51" s="153"/>
      <c r="IT51" s="153"/>
      <c r="IU51" s="153"/>
      <c r="IV51" s="153"/>
    </row>
    <row r="52" spans="1:256" s="155" customFormat="1" ht="34.5" customHeight="1" x14ac:dyDescent="0.3">
      <c r="A52" s="153"/>
      <c r="B52" s="231" t="s">
        <v>170</v>
      </c>
      <c r="C52" s="152">
        <v>1</v>
      </c>
      <c r="D52" s="145"/>
      <c r="E52" s="156">
        <v>166</v>
      </c>
      <c r="F52" s="157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BW52" s="153"/>
      <c r="BX52" s="153"/>
      <c r="BY52" s="153"/>
      <c r="BZ52" s="153"/>
      <c r="CA52" s="153"/>
      <c r="CB52" s="153"/>
      <c r="CC52" s="153"/>
      <c r="CD52" s="153"/>
      <c r="CE52" s="153"/>
      <c r="CF52" s="153"/>
      <c r="CG52" s="153"/>
      <c r="CH52" s="153"/>
      <c r="CI52" s="153"/>
      <c r="CJ52" s="153"/>
      <c r="CK52" s="153"/>
      <c r="CL52" s="153"/>
      <c r="CM52" s="153"/>
      <c r="CN52" s="153"/>
      <c r="CO52" s="153"/>
      <c r="CP52" s="153"/>
      <c r="CQ52" s="153"/>
      <c r="CR52" s="153"/>
      <c r="CS52" s="153"/>
      <c r="CT52" s="153"/>
      <c r="CU52" s="153"/>
      <c r="CV52" s="153"/>
      <c r="CW52" s="153"/>
      <c r="CX52" s="153"/>
      <c r="CY52" s="153"/>
      <c r="CZ52" s="153"/>
      <c r="DA52" s="153"/>
      <c r="DB52" s="153"/>
      <c r="DC52" s="153"/>
      <c r="DD52" s="153"/>
      <c r="DE52" s="153"/>
      <c r="DF52" s="153"/>
      <c r="DG52" s="153"/>
      <c r="DH52" s="153"/>
      <c r="DI52" s="153"/>
      <c r="DJ52" s="153"/>
      <c r="DK52" s="153"/>
      <c r="DL52" s="153"/>
      <c r="DM52" s="153"/>
      <c r="DN52" s="153"/>
      <c r="DO52" s="153"/>
      <c r="DP52" s="153"/>
      <c r="DQ52" s="153"/>
      <c r="DR52" s="153"/>
      <c r="DS52" s="153"/>
      <c r="DT52" s="153"/>
      <c r="DU52" s="153"/>
      <c r="DV52" s="153"/>
      <c r="DW52" s="153"/>
      <c r="DX52" s="153"/>
      <c r="DY52" s="153"/>
      <c r="DZ52" s="153"/>
      <c r="EA52" s="153"/>
      <c r="EB52" s="153"/>
      <c r="EC52" s="153"/>
      <c r="ED52" s="153"/>
      <c r="EE52" s="153"/>
      <c r="EF52" s="153"/>
      <c r="EG52" s="153"/>
      <c r="EH52" s="153"/>
      <c r="EI52" s="153"/>
      <c r="EJ52" s="153"/>
      <c r="EK52" s="153"/>
      <c r="EL52" s="153"/>
      <c r="EM52" s="153"/>
      <c r="EN52" s="153"/>
      <c r="EO52" s="153"/>
      <c r="EP52" s="153"/>
      <c r="EQ52" s="153"/>
      <c r="ER52" s="153"/>
      <c r="ES52" s="153"/>
      <c r="ET52" s="153"/>
      <c r="EU52" s="153"/>
      <c r="EV52" s="153"/>
      <c r="EW52" s="153"/>
      <c r="EX52" s="153"/>
      <c r="EY52" s="153"/>
      <c r="EZ52" s="153"/>
      <c r="FA52" s="153"/>
      <c r="FB52" s="153"/>
      <c r="FC52" s="153"/>
      <c r="FD52" s="153"/>
      <c r="FE52" s="153"/>
      <c r="FF52" s="153"/>
      <c r="FG52" s="153"/>
      <c r="FH52" s="153"/>
      <c r="FI52" s="153"/>
      <c r="FJ52" s="153"/>
      <c r="FK52" s="153"/>
      <c r="FL52" s="153"/>
      <c r="FM52" s="153"/>
      <c r="FN52" s="153"/>
      <c r="FO52" s="153"/>
      <c r="FP52" s="153"/>
      <c r="FQ52" s="153"/>
      <c r="FR52" s="153"/>
      <c r="FS52" s="153"/>
      <c r="FT52" s="153"/>
      <c r="FU52" s="153"/>
      <c r="FV52" s="153"/>
      <c r="FW52" s="153"/>
      <c r="FX52" s="153"/>
      <c r="FY52" s="153"/>
      <c r="FZ52" s="153"/>
      <c r="GA52" s="153"/>
      <c r="GB52" s="153"/>
      <c r="GC52" s="153"/>
      <c r="GD52" s="153"/>
      <c r="GE52" s="153"/>
      <c r="GF52" s="153"/>
      <c r="GG52" s="153"/>
      <c r="GH52" s="153"/>
      <c r="GI52" s="153"/>
      <c r="GJ52" s="153"/>
      <c r="GK52" s="153"/>
      <c r="GL52" s="153"/>
      <c r="GM52" s="153"/>
      <c r="GN52" s="153"/>
      <c r="GO52" s="153"/>
      <c r="GP52" s="153"/>
      <c r="GQ52" s="153"/>
      <c r="GR52" s="153"/>
      <c r="GS52" s="153"/>
      <c r="GT52" s="153"/>
      <c r="GU52" s="153"/>
      <c r="GV52" s="153"/>
      <c r="GW52" s="153"/>
      <c r="GX52" s="153"/>
      <c r="GY52" s="153"/>
      <c r="GZ52" s="153"/>
      <c r="HA52" s="153"/>
      <c r="HB52" s="153"/>
      <c r="HC52" s="153"/>
      <c r="HD52" s="153"/>
      <c r="HE52" s="153"/>
      <c r="HF52" s="153"/>
      <c r="HG52" s="153"/>
      <c r="HH52" s="153"/>
      <c r="HI52" s="153"/>
      <c r="HJ52" s="153"/>
      <c r="HK52" s="153"/>
      <c r="HL52" s="153"/>
      <c r="HM52" s="153"/>
      <c r="HN52" s="153"/>
      <c r="HO52" s="153"/>
      <c r="HP52" s="153"/>
      <c r="HQ52" s="153"/>
      <c r="HR52" s="153"/>
      <c r="HS52" s="153"/>
      <c r="HT52" s="153"/>
      <c r="HU52" s="153"/>
      <c r="HV52" s="153"/>
      <c r="HW52" s="153"/>
      <c r="HX52" s="153"/>
      <c r="HY52" s="153"/>
      <c r="HZ52" s="153"/>
      <c r="IA52" s="153"/>
      <c r="IB52" s="153"/>
      <c r="IC52" s="153"/>
      <c r="ID52" s="153"/>
      <c r="IE52" s="153"/>
      <c r="IF52" s="153"/>
      <c r="IG52" s="153"/>
      <c r="IH52" s="153"/>
      <c r="II52" s="153"/>
      <c r="IJ52" s="153"/>
      <c r="IK52" s="153"/>
      <c r="IL52" s="153"/>
      <c r="IM52" s="153"/>
      <c r="IN52" s="153"/>
      <c r="IO52" s="153"/>
      <c r="IP52" s="153"/>
      <c r="IQ52" s="153"/>
      <c r="IR52" s="153"/>
      <c r="IS52" s="153"/>
      <c r="IT52" s="153"/>
      <c r="IU52" s="153"/>
      <c r="IV52" s="153"/>
    </row>
    <row r="53" spans="1:256" s="155" customFormat="1" ht="34.5" customHeight="1" x14ac:dyDescent="0.3">
      <c r="A53" s="153"/>
      <c r="B53" s="220" t="s">
        <v>179</v>
      </c>
      <c r="C53" s="152">
        <v>2</v>
      </c>
      <c r="D53" s="145"/>
      <c r="E53" s="156">
        <v>100</v>
      </c>
      <c r="F53" s="154" t="s">
        <v>180</v>
      </c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3"/>
      <c r="BS53" s="153"/>
      <c r="BT53" s="153"/>
      <c r="BU53" s="153"/>
      <c r="BV53" s="153"/>
      <c r="BW53" s="153"/>
      <c r="BX53" s="153"/>
      <c r="BY53" s="153"/>
      <c r="BZ53" s="153"/>
      <c r="CA53" s="153"/>
      <c r="CB53" s="153"/>
      <c r="CC53" s="153"/>
      <c r="CD53" s="153"/>
      <c r="CE53" s="153"/>
      <c r="CF53" s="153"/>
      <c r="CG53" s="153"/>
      <c r="CH53" s="153"/>
      <c r="CI53" s="153"/>
      <c r="CJ53" s="153"/>
      <c r="CK53" s="153"/>
      <c r="CL53" s="153"/>
      <c r="CM53" s="153"/>
      <c r="CN53" s="153"/>
      <c r="CO53" s="153"/>
      <c r="CP53" s="153"/>
      <c r="CQ53" s="153"/>
      <c r="CR53" s="153"/>
      <c r="CS53" s="153"/>
      <c r="CT53" s="153"/>
      <c r="CU53" s="153"/>
      <c r="CV53" s="153"/>
      <c r="CW53" s="153"/>
      <c r="CX53" s="153"/>
      <c r="CY53" s="153"/>
      <c r="CZ53" s="153"/>
      <c r="DA53" s="153"/>
      <c r="DB53" s="153"/>
      <c r="DC53" s="153"/>
      <c r="DD53" s="153"/>
      <c r="DE53" s="153"/>
      <c r="DF53" s="153"/>
      <c r="DG53" s="153"/>
      <c r="DH53" s="153"/>
      <c r="DI53" s="153"/>
      <c r="DJ53" s="153"/>
      <c r="DK53" s="153"/>
      <c r="DL53" s="153"/>
      <c r="DM53" s="153"/>
      <c r="DN53" s="153"/>
      <c r="DO53" s="153"/>
      <c r="DP53" s="153"/>
      <c r="DQ53" s="153"/>
      <c r="DR53" s="153"/>
      <c r="DS53" s="153"/>
      <c r="DT53" s="153"/>
      <c r="DU53" s="153"/>
      <c r="DV53" s="153"/>
      <c r="DW53" s="153"/>
      <c r="DX53" s="153"/>
      <c r="DY53" s="153"/>
      <c r="DZ53" s="153"/>
      <c r="EA53" s="153"/>
      <c r="EB53" s="153"/>
      <c r="EC53" s="153"/>
      <c r="ED53" s="153"/>
      <c r="EE53" s="153"/>
      <c r="EF53" s="153"/>
      <c r="EG53" s="153"/>
      <c r="EH53" s="153"/>
      <c r="EI53" s="153"/>
      <c r="EJ53" s="153"/>
      <c r="EK53" s="153"/>
      <c r="EL53" s="153"/>
      <c r="EM53" s="153"/>
      <c r="EN53" s="153"/>
      <c r="EO53" s="153"/>
      <c r="EP53" s="153"/>
      <c r="EQ53" s="153"/>
      <c r="ER53" s="153"/>
      <c r="ES53" s="153"/>
      <c r="ET53" s="153"/>
      <c r="EU53" s="153"/>
      <c r="EV53" s="153"/>
      <c r="EW53" s="153"/>
      <c r="EX53" s="153"/>
      <c r="EY53" s="153"/>
      <c r="EZ53" s="153"/>
      <c r="FA53" s="153"/>
      <c r="FB53" s="153"/>
      <c r="FC53" s="153"/>
      <c r="FD53" s="153"/>
      <c r="FE53" s="153"/>
      <c r="FF53" s="153"/>
      <c r="FG53" s="153"/>
      <c r="FH53" s="153"/>
      <c r="FI53" s="153"/>
      <c r="FJ53" s="153"/>
      <c r="FK53" s="153"/>
      <c r="FL53" s="153"/>
      <c r="FM53" s="153"/>
      <c r="FN53" s="153"/>
      <c r="FO53" s="153"/>
      <c r="FP53" s="153"/>
      <c r="FQ53" s="153"/>
      <c r="FR53" s="153"/>
      <c r="FS53" s="153"/>
      <c r="FT53" s="153"/>
      <c r="FU53" s="153"/>
      <c r="FV53" s="153"/>
      <c r="FW53" s="153"/>
      <c r="FX53" s="153"/>
      <c r="FY53" s="153"/>
      <c r="FZ53" s="153"/>
      <c r="GA53" s="153"/>
      <c r="GB53" s="153"/>
      <c r="GC53" s="153"/>
      <c r="GD53" s="153"/>
      <c r="GE53" s="153"/>
      <c r="GF53" s="153"/>
      <c r="GG53" s="153"/>
      <c r="GH53" s="153"/>
      <c r="GI53" s="153"/>
      <c r="GJ53" s="153"/>
      <c r="GK53" s="153"/>
      <c r="GL53" s="153"/>
      <c r="GM53" s="153"/>
      <c r="GN53" s="153"/>
      <c r="GO53" s="153"/>
      <c r="GP53" s="153"/>
      <c r="GQ53" s="153"/>
      <c r="GR53" s="153"/>
      <c r="GS53" s="153"/>
      <c r="GT53" s="153"/>
      <c r="GU53" s="153"/>
      <c r="GV53" s="153"/>
      <c r="GW53" s="153"/>
      <c r="GX53" s="153"/>
      <c r="GY53" s="153"/>
      <c r="GZ53" s="153"/>
      <c r="HA53" s="153"/>
      <c r="HB53" s="153"/>
      <c r="HC53" s="153"/>
      <c r="HD53" s="153"/>
      <c r="HE53" s="153"/>
      <c r="HF53" s="153"/>
      <c r="HG53" s="153"/>
      <c r="HH53" s="153"/>
      <c r="HI53" s="153"/>
      <c r="HJ53" s="153"/>
      <c r="HK53" s="153"/>
      <c r="HL53" s="153"/>
      <c r="HM53" s="153"/>
      <c r="HN53" s="153"/>
      <c r="HO53" s="153"/>
      <c r="HP53" s="153"/>
      <c r="HQ53" s="153"/>
      <c r="HR53" s="153"/>
      <c r="HS53" s="153"/>
      <c r="HT53" s="153"/>
      <c r="HU53" s="153"/>
      <c r="HV53" s="153"/>
      <c r="HW53" s="153"/>
      <c r="HX53" s="153"/>
      <c r="HY53" s="153"/>
      <c r="HZ53" s="153"/>
      <c r="IA53" s="153"/>
      <c r="IB53" s="153"/>
      <c r="IC53" s="153"/>
      <c r="ID53" s="153"/>
      <c r="IE53" s="153"/>
      <c r="IF53" s="153"/>
      <c r="IG53" s="153"/>
      <c r="IH53" s="153"/>
      <c r="II53" s="153"/>
      <c r="IJ53" s="153"/>
      <c r="IK53" s="153"/>
      <c r="IL53" s="153"/>
      <c r="IM53" s="153"/>
      <c r="IN53" s="153"/>
      <c r="IO53" s="153"/>
      <c r="IP53" s="153"/>
      <c r="IQ53" s="153"/>
      <c r="IR53" s="153"/>
      <c r="IS53" s="153"/>
      <c r="IT53" s="153"/>
      <c r="IU53" s="153"/>
      <c r="IV53" s="153"/>
    </row>
    <row r="54" spans="1:256" s="155" customFormat="1" ht="22.5" customHeight="1" x14ac:dyDescent="0.3">
      <c r="A54" s="153"/>
      <c r="B54" s="154" t="s">
        <v>173</v>
      </c>
      <c r="C54" s="152">
        <v>2</v>
      </c>
      <c r="D54" s="145"/>
      <c r="E54" s="156">
        <v>300</v>
      </c>
      <c r="F54" s="154" t="s">
        <v>174</v>
      </c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53"/>
      <c r="BR54" s="153"/>
      <c r="BS54" s="153"/>
      <c r="BT54" s="153"/>
      <c r="BU54" s="153"/>
      <c r="BV54" s="153"/>
      <c r="BW54" s="153"/>
      <c r="BX54" s="153"/>
      <c r="BY54" s="153"/>
      <c r="BZ54" s="153"/>
      <c r="CA54" s="153"/>
      <c r="CB54" s="153"/>
      <c r="CC54" s="153"/>
      <c r="CD54" s="153"/>
      <c r="CE54" s="153"/>
      <c r="CF54" s="153"/>
      <c r="CG54" s="153"/>
      <c r="CH54" s="153"/>
      <c r="CI54" s="153"/>
      <c r="CJ54" s="153"/>
      <c r="CK54" s="153"/>
      <c r="CL54" s="153"/>
      <c r="CM54" s="153"/>
      <c r="CN54" s="153"/>
      <c r="CO54" s="153"/>
      <c r="CP54" s="153"/>
      <c r="CQ54" s="153"/>
      <c r="CR54" s="153"/>
      <c r="CS54" s="153"/>
      <c r="CT54" s="153"/>
      <c r="CU54" s="153"/>
      <c r="CV54" s="153"/>
      <c r="CW54" s="153"/>
      <c r="CX54" s="153"/>
      <c r="CY54" s="153"/>
      <c r="CZ54" s="153"/>
      <c r="DA54" s="153"/>
      <c r="DB54" s="153"/>
      <c r="DC54" s="153"/>
      <c r="DD54" s="153"/>
      <c r="DE54" s="153"/>
      <c r="DF54" s="153"/>
      <c r="DG54" s="153"/>
      <c r="DH54" s="153"/>
      <c r="DI54" s="153"/>
      <c r="DJ54" s="153"/>
      <c r="DK54" s="153"/>
      <c r="DL54" s="153"/>
      <c r="DM54" s="153"/>
      <c r="DN54" s="153"/>
      <c r="DO54" s="153"/>
      <c r="DP54" s="153"/>
      <c r="DQ54" s="153"/>
      <c r="DR54" s="153"/>
      <c r="DS54" s="153"/>
      <c r="DT54" s="153"/>
      <c r="DU54" s="153"/>
      <c r="DV54" s="153"/>
      <c r="DW54" s="153"/>
      <c r="DX54" s="153"/>
      <c r="DY54" s="153"/>
      <c r="DZ54" s="153"/>
      <c r="EA54" s="153"/>
      <c r="EB54" s="153"/>
      <c r="EC54" s="153"/>
      <c r="ED54" s="153"/>
      <c r="EE54" s="153"/>
      <c r="EF54" s="153"/>
      <c r="EG54" s="153"/>
      <c r="EH54" s="153"/>
      <c r="EI54" s="153"/>
      <c r="EJ54" s="153"/>
      <c r="EK54" s="153"/>
      <c r="EL54" s="153"/>
      <c r="EM54" s="153"/>
      <c r="EN54" s="153"/>
      <c r="EO54" s="153"/>
      <c r="EP54" s="153"/>
      <c r="EQ54" s="153"/>
      <c r="ER54" s="153"/>
      <c r="ES54" s="153"/>
      <c r="ET54" s="153"/>
      <c r="EU54" s="153"/>
      <c r="EV54" s="153"/>
      <c r="EW54" s="153"/>
      <c r="EX54" s="153"/>
      <c r="EY54" s="153"/>
      <c r="EZ54" s="153"/>
      <c r="FA54" s="153"/>
      <c r="FB54" s="153"/>
      <c r="FC54" s="153"/>
      <c r="FD54" s="153"/>
      <c r="FE54" s="153"/>
      <c r="FF54" s="153"/>
      <c r="FG54" s="153"/>
      <c r="FH54" s="153"/>
      <c r="FI54" s="153"/>
      <c r="FJ54" s="153"/>
      <c r="FK54" s="153"/>
      <c r="FL54" s="153"/>
      <c r="FM54" s="153"/>
      <c r="FN54" s="153"/>
      <c r="FO54" s="153"/>
      <c r="FP54" s="153"/>
      <c r="FQ54" s="153"/>
      <c r="FR54" s="153"/>
      <c r="FS54" s="153"/>
      <c r="FT54" s="153"/>
      <c r="FU54" s="153"/>
      <c r="FV54" s="153"/>
      <c r="FW54" s="153"/>
      <c r="FX54" s="153"/>
      <c r="FY54" s="153"/>
      <c r="FZ54" s="153"/>
      <c r="GA54" s="153"/>
      <c r="GB54" s="153"/>
      <c r="GC54" s="153"/>
      <c r="GD54" s="153"/>
      <c r="GE54" s="153"/>
      <c r="GF54" s="153"/>
      <c r="GG54" s="153"/>
      <c r="GH54" s="153"/>
      <c r="GI54" s="153"/>
      <c r="GJ54" s="153"/>
      <c r="GK54" s="153"/>
      <c r="GL54" s="153"/>
      <c r="GM54" s="153"/>
      <c r="GN54" s="153"/>
      <c r="GO54" s="153"/>
      <c r="GP54" s="153"/>
      <c r="GQ54" s="153"/>
      <c r="GR54" s="153"/>
      <c r="GS54" s="153"/>
      <c r="GT54" s="153"/>
      <c r="GU54" s="153"/>
      <c r="GV54" s="153"/>
      <c r="GW54" s="153"/>
      <c r="GX54" s="153"/>
      <c r="GY54" s="153"/>
      <c r="GZ54" s="153"/>
      <c r="HA54" s="153"/>
      <c r="HB54" s="153"/>
      <c r="HC54" s="153"/>
      <c r="HD54" s="153"/>
      <c r="HE54" s="153"/>
      <c r="HF54" s="153"/>
      <c r="HG54" s="153"/>
      <c r="HH54" s="153"/>
      <c r="HI54" s="153"/>
      <c r="HJ54" s="153"/>
      <c r="HK54" s="153"/>
      <c r="HL54" s="153"/>
      <c r="HM54" s="153"/>
      <c r="HN54" s="153"/>
      <c r="HO54" s="153"/>
      <c r="HP54" s="153"/>
      <c r="HQ54" s="153"/>
      <c r="HR54" s="153"/>
      <c r="HS54" s="153"/>
      <c r="HT54" s="153"/>
      <c r="HU54" s="153"/>
      <c r="HV54" s="153"/>
      <c r="HW54" s="153"/>
      <c r="HX54" s="153"/>
      <c r="HY54" s="153"/>
      <c r="HZ54" s="153"/>
      <c r="IA54" s="153"/>
      <c r="IB54" s="153"/>
      <c r="IC54" s="153"/>
      <c r="ID54" s="153"/>
      <c r="IE54" s="153"/>
      <c r="IF54" s="153"/>
      <c r="IG54" s="153"/>
      <c r="IH54" s="153"/>
      <c r="II54" s="153"/>
      <c r="IJ54" s="153"/>
      <c r="IK54" s="153"/>
      <c r="IL54" s="153"/>
      <c r="IM54" s="153"/>
      <c r="IN54" s="153"/>
      <c r="IO54" s="153"/>
      <c r="IP54" s="153"/>
      <c r="IQ54" s="153"/>
      <c r="IR54" s="153"/>
      <c r="IS54" s="153"/>
      <c r="IT54" s="153"/>
      <c r="IU54" s="153"/>
      <c r="IV54" s="153"/>
    </row>
    <row r="55" spans="1:256" s="155" customFormat="1" x14ac:dyDescent="0.3">
      <c r="A55" s="101"/>
      <c r="B55" s="124" t="s">
        <v>12</v>
      </c>
      <c r="C55" s="125"/>
      <c r="D55" s="126"/>
      <c r="E55" s="126">
        <f>SUM(E31:E54)-E48</f>
        <v>50796.783684210524</v>
      </c>
      <c r="F55" s="126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01"/>
      <c r="EF55" s="101"/>
      <c r="EG55" s="101"/>
      <c r="EH55" s="101"/>
      <c r="EI55" s="101"/>
      <c r="EJ55" s="101"/>
      <c r="EK55" s="101"/>
      <c r="EL55" s="101"/>
      <c r="EM55" s="101"/>
      <c r="EN55" s="101"/>
      <c r="EO55" s="101"/>
      <c r="EP55" s="101"/>
      <c r="EQ55" s="101"/>
      <c r="ER55" s="101"/>
      <c r="ES55" s="101"/>
      <c r="ET55" s="101"/>
      <c r="EU55" s="101"/>
      <c r="EV55" s="101"/>
      <c r="EW55" s="101"/>
      <c r="EX55" s="101"/>
      <c r="EY55" s="101"/>
      <c r="EZ55" s="101"/>
      <c r="FA55" s="101"/>
      <c r="FB55" s="101"/>
      <c r="FC55" s="101"/>
      <c r="FD55" s="101"/>
      <c r="FE55" s="101"/>
      <c r="FF55" s="101"/>
      <c r="FG55" s="101"/>
      <c r="FH55" s="101"/>
      <c r="FI55" s="101"/>
      <c r="FJ55" s="101"/>
      <c r="FK55" s="101"/>
      <c r="FL55" s="101"/>
      <c r="FM55" s="101"/>
      <c r="FN55" s="101"/>
      <c r="FO55" s="101"/>
      <c r="FP55" s="101"/>
      <c r="FQ55" s="101"/>
      <c r="FR55" s="101"/>
      <c r="FS55" s="101"/>
      <c r="FT55" s="101"/>
      <c r="FU55" s="101"/>
      <c r="FV55" s="101"/>
      <c r="FW55" s="101"/>
      <c r="FX55" s="101"/>
      <c r="FY55" s="101"/>
      <c r="FZ55" s="101"/>
      <c r="GA55" s="101"/>
      <c r="GB55" s="101"/>
      <c r="GC55" s="101"/>
      <c r="GD55" s="101"/>
      <c r="GE55" s="101"/>
      <c r="GF55" s="101"/>
      <c r="GG55" s="101"/>
      <c r="GH55" s="101"/>
      <c r="GI55" s="101"/>
      <c r="GJ55" s="101"/>
      <c r="GK55" s="101"/>
      <c r="GL55" s="101"/>
      <c r="GM55" s="101"/>
      <c r="GN55" s="101"/>
      <c r="GO55" s="101"/>
      <c r="GP55" s="101"/>
      <c r="GQ55" s="101"/>
      <c r="GR55" s="101"/>
      <c r="GS55" s="101"/>
      <c r="GT55" s="101"/>
      <c r="GU55" s="101"/>
      <c r="GV55" s="101"/>
      <c r="GW55" s="101"/>
      <c r="GX55" s="101"/>
      <c r="GY55" s="101"/>
      <c r="GZ55" s="101"/>
      <c r="HA55" s="101"/>
      <c r="HB55" s="101"/>
      <c r="HC55" s="101"/>
      <c r="HD55" s="101"/>
      <c r="HE55" s="101"/>
      <c r="HF55" s="101"/>
      <c r="HG55" s="101"/>
      <c r="HH55" s="101"/>
      <c r="HI55" s="101"/>
      <c r="HJ55" s="101"/>
      <c r="HK55" s="101"/>
      <c r="HL55" s="101"/>
      <c r="HM55" s="101"/>
      <c r="HN55" s="101"/>
      <c r="HO55" s="101"/>
      <c r="HP55" s="101"/>
      <c r="HQ55" s="101"/>
      <c r="HR55" s="101"/>
      <c r="HS55" s="101"/>
      <c r="HT55" s="101"/>
      <c r="HU55" s="101"/>
      <c r="HV55" s="101"/>
      <c r="HW55" s="101"/>
      <c r="HX55" s="101"/>
      <c r="HY55" s="101"/>
      <c r="HZ55" s="101"/>
      <c r="IA55" s="101"/>
      <c r="IB55" s="101"/>
      <c r="IC55" s="101"/>
      <c r="ID55" s="101"/>
      <c r="IE55" s="101"/>
      <c r="IF55" s="101"/>
      <c r="IG55" s="101"/>
      <c r="IH55" s="101"/>
      <c r="II55" s="101"/>
      <c r="IJ55" s="101"/>
      <c r="IK55" s="101"/>
      <c r="IL55" s="101"/>
      <c r="IM55" s="101"/>
      <c r="IN55" s="101"/>
      <c r="IO55" s="101"/>
      <c r="IP55" s="101"/>
      <c r="IQ55" s="101"/>
      <c r="IR55" s="101"/>
      <c r="IS55" s="101"/>
      <c r="IT55" s="101"/>
      <c r="IU55" s="101"/>
      <c r="IV55" s="101"/>
    </row>
    <row r="56" spans="1:256" s="155" customFormat="1" x14ac:dyDescent="0.3">
      <c r="A56" s="143"/>
      <c r="B56" s="158" t="s">
        <v>111</v>
      </c>
      <c r="C56" s="159"/>
      <c r="D56" s="159"/>
      <c r="E56" s="159"/>
      <c r="F56" s="160">
        <f>517.88*3+432.75*2+418.37+418.37*4</f>
        <v>4510.99</v>
      </c>
      <c r="G56" s="161"/>
      <c r="H56" s="162"/>
      <c r="I56" s="162"/>
      <c r="J56" s="163"/>
      <c r="K56" s="143"/>
      <c r="L56" s="143"/>
      <c r="M56" s="197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43"/>
      <c r="CL56" s="143"/>
      <c r="CM56" s="143"/>
      <c r="CN56" s="143"/>
      <c r="CO56" s="143"/>
      <c r="CP56" s="143"/>
      <c r="CQ56" s="143"/>
      <c r="CR56" s="143"/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  <c r="DD56" s="143"/>
      <c r="DE56" s="143"/>
      <c r="DF56" s="143"/>
      <c r="DG56" s="143"/>
      <c r="DH56" s="143"/>
      <c r="DI56" s="143"/>
      <c r="DJ56" s="143"/>
      <c r="DK56" s="143"/>
      <c r="DL56" s="143"/>
      <c r="DM56" s="143"/>
      <c r="DN56" s="143"/>
      <c r="DO56" s="143"/>
      <c r="DP56" s="143"/>
      <c r="DQ56" s="143"/>
      <c r="DR56" s="143"/>
      <c r="DS56" s="143"/>
      <c r="DT56" s="143"/>
      <c r="DU56" s="143"/>
      <c r="DV56" s="143"/>
      <c r="DW56" s="143"/>
      <c r="DX56" s="143"/>
      <c r="DY56" s="143"/>
      <c r="DZ56" s="143"/>
      <c r="EA56" s="143"/>
      <c r="EB56" s="143"/>
      <c r="EC56" s="143"/>
      <c r="ED56" s="143"/>
      <c r="EE56" s="143"/>
      <c r="EF56" s="143"/>
      <c r="EG56" s="143"/>
      <c r="EH56" s="143"/>
      <c r="EI56" s="143"/>
      <c r="EJ56" s="143"/>
      <c r="EK56" s="143"/>
      <c r="EL56" s="143"/>
      <c r="EM56" s="143"/>
      <c r="EN56" s="143"/>
      <c r="EO56" s="143"/>
      <c r="EP56" s="143"/>
      <c r="EQ56" s="143"/>
      <c r="ER56" s="143"/>
      <c r="ES56" s="143"/>
      <c r="ET56" s="143"/>
      <c r="EU56" s="143"/>
      <c r="EV56" s="143"/>
      <c r="EW56" s="143"/>
      <c r="EX56" s="143"/>
      <c r="EY56" s="143"/>
      <c r="EZ56" s="143"/>
      <c r="FA56" s="143"/>
      <c r="FB56" s="143"/>
      <c r="FC56" s="143"/>
      <c r="FD56" s="143"/>
      <c r="FE56" s="143"/>
      <c r="FF56" s="143"/>
      <c r="FG56" s="143"/>
      <c r="FH56" s="143"/>
      <c r="FI56" s="143"/>
      <c r="FJ56" s="143"/>
      <c r="FK56" s="143"/>
      <c r="FL56" s="143"/>
      <c r="FM56" s="143"/>
      <c r="FN56" s="143"/>
      <c r="FO56" s="143"/>
      <c r="FP56" s="143"/>
      <c r="FQ56" s="143"/>
      <c r="FR56" s="143"/>
      <c r="FS56" s="143"/>
      <c r="FT56" s="143"/>
      <c r="FU56" s="143"/>
      <c r="FV56" s="143"/>
      <c r="FW56" s="143"/>
      <c r="FX56" s="143"/>
      <c r="FY56" s="143"/>
      <c r="FZ56" s="143"/>
      <c r="GA56" s="143"/>
      <c r="GB56" s="143"/>
      <c r="GC56" s="143"/>
      <c r="GD56" s="143"/>
      <c r="GE56" s="143"/>
      <c r="GF56" s="143"/>
      <c r="GG56" s="143"/>
      <c r="GH56" s="143"/>
      <c r="GI56" s="143"/>
      <c r="GJ56" s="143"/>
      <c r="GK56" s="143"/>
      <c r="GL56" s="143"/>
      <c r="GM56" s="143"/>
      <c r="GN56" s="143"/>
      <c r="GO56" s="143"/>
      <c r="GP56" s="143"/>
      <c r="GQ56" s="143"/>
      <c r="GR56" s="143"/>
      <c r="GS56" s="143"/>
      <c r="GT56" s="143"/>
      <c r="GU56" s="143"/>
      <c r="GV56" s="143"/>
      <c r="GW56" s="143"/>
      <c r="GX56" s="143"/>
      <c r="GY56" s="143"/>
      <c r="GZ56" s="143"/>
      <c r="HA56" s="143"/>
      <c r="HB56" s="143"/>
      <c r="HC56" s="143"/>
      <c r="HD56" s="143"/>
      <c r="HE56" s="143"/>
      <c r="HF56" s="143"/>
      <c r="HG56" s="143"/>
      <c r="HH56" s="143"/>
      <c r="HI56" s="143"/>
      <c r="HJ56" s="143"/>
      <c r="HK56" s="143"/>
      <c r="HL56" s="143"/>
      <c r="HM56" s="143"/>
      <c r="HN56" s="143"/>
      <c r="HO56" s="143"/>
      <c r="HP56" s="143"/>
      <c r="HQ56" s="143"/>
      <c r="HR56" s="143"/>
      <c r="HS56" s="143"/>
      <c r="HT56" s="143"/>
      <c r="HU56" s="143"/>
      <c r="HV56" s="143"/>
      <c r="HW56" s="143"/>
      <c r="HX56" s="143"/>
      <c r="HY56" s="143"/>
      <c r="HZ56" s="143"/>
      <c r="IA56" s="143"/>
      <c r="IB56" s="143"/>
      <c r="IC56" s="143"/>
      <c r="ID56" s="143"/>
      <c r="IE56" s="143"/>
      <c r="IF56" s="143"/>
      <c r="IG56" s="143"/>
      <c r="IH56" s="143"/>
      <c r="II56" s="143"/>
      <c r="IJ56" s="143"/>
      <c r="IK56" s="143"/>
      <c r="IL56" s="143"/>
      <c r="IM56" s="143"/>
      <c r="IN56" s="143"/>
      <c r="IO56" s="143"/>
      <c r="IP56" s="143"/>
      <c r="IQ56" s="143"/>
      <c r="IR56" s="143"/>
      <c r="IS56" s="143"/>
      <c r="IT56" s="143"/>
      <c r="IU56" s="143"/>
      <c r="IV56" s="143"/>
    </row>
    <row r="57" spans="1:256" s="155" customFormat="1" x14ac:dyDescent="0.3">
      <c r="A57" s="164"/>
      <c r="B57" s="165" t="s">
        <v>112</v>
      </c>
      <c r="C57" s="166">
        <v>0.05</v>
      </c>
      <c r="D57" s="167"/>
      <c r="E57" s="168"/>
      <c r="F57" s="169">
        <f>(F58-F56)*C57</f>
        <v>10423.522144210527</v>
      </c>
      <c r="G57" s="161"/>
      <c r="H57" s="170"/>
      <c r="I57" s="170"/>
      <c r="J57" s="170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  <c r="CW57" s="164"/>
      <c r="CX57" s="164"/>
      <c r="CY57" s="164"/>
      <c r="CZ57" s="164"/>
      <c r="DA57" s="164"/>
      <c r="DB57" s="164"/>
      <c r="DC57" s="164"/>
      <c r="DD57" s="164"/>
      <c r="DE57" s="164"/>
      <c r="DF57" s="164"/>
      <c r="DG57" s="164"/>
      <c r="DH57" s="164"/>
      <c r="DI57" s="164"/>
      <c r="DJ57" s="164"/>
      <c r="DK57" s="164"/>
      <c r="DL57" s="164"/>
      <c r="DM57" s="164"/>
      <c r="DN57" s="164"/>
      <c r="DO57" s="164"/>
      <c r="DP57" s="164"/>
      <c r="DQ57" s="164"/>
      <c r="DR57" s="164"/>
      <c r="DS57" s="164"/>
      <c r="DT57" s="164"/>
      <c r="DU57" s="164"/>
      <c r="DV57" s="164"/>
      <c r="DW57" s="164"/>
      <c r="DX57" s="164"/>
      <c r="DY57" s="164"/>
      <c r="DZ57" s="164"/>
      <c r="EA57" s="164"/>
      <c r="EB57" s="164"/>
      <c r="EC57" s="164"/>
      <c r="ED57" s="164"/>
      <c r="EE57" s="164"/>
      <c r="EF57" s="164"/>
      <c r="EG57" s="164"/>
      <c r="EH57" s="164"/>
      <c r="EI57" s="164"/>
      <c r="EJ57" s="164"/>
      <c r="EK57" s="164"/>
      <c r="EL57" s="164"/>
      <c r="EM57" s="164"/>
      <c r="EN57" s="164"/>
      <c r="EO57" s="164"/>
      <c r="EP57" s="164"/>
      <c r="EQ57" s="164"/>
      <c r="ER57" s="164"/>
      <c r="ES57" s="164"/>
      <c r="ET57" s="164"/>
      <c r="EU57" s="164"/>
      <c r="EV57" s="164"/>
      <c r="EW57" s="164"/>
      <c r="EX57" s="164"/>
      <c r="EY57" s="164"/>
      <c r="EZ57" s="164"/>
      <c r="FA57" s="164"/>
      <c r="FB57" s="164"/>
      <c r="FC57" s="164"/>
      <c r="FD57" s="164"/>
      <c r="FE57" s="164"/>
      <c r="FF57" s="164"/>
      <c r="FG57" s="164"/>
      <c r="FH57" s="164"/>
      <c r="FI57" s="164"/>
      <c r="FJ57" s="164"/>
      <c r="FK57" s="164"/>
      <c r="FL57" s="164"/>
      <c r="FM57" s="164"/>
      <c r="FN57" s="164"/>
      <c r="FO57" s="164"/>
      <c r="FP57" s="164"/>
      <c r="FQ57" s="164"/>
      <c r="FR57" s="164"/>
      <c r="FS57" s="164"/>
      <c r="FT57" s="164"/>
      <c r="FU57" s="164"/>
      <c r="FV57" s="164"/>
      <c r="FW57" s="164"/>
      <c r="FX57" s="164"/>
      <c r="FY57" s="164"/>
      <c r="FZ57" s="164"/>
      <c r="GA57" s="164"/>
      <c r="GB57" s="164"/>
      <c r="GC57" s="164"/>
      <c r="GD57" s="164"/>
      <c r="GE57" s="164"/>
      <c r="GF57" s="164"/>
      <c r="GG57" s="164"/>
      <c r="GH57" s="164"/>
      <c r="GI57" s="164"/>
      <c r="GJ57" s="164"/>
      <c r="GK57" s="164"/>
      <c r="GL57" s="164"/>
      <c r="GM57" s="164"/>
      <c r="GN57" s="164"/>
      <c r="GO57" s="164"/>
      <c r="GP57" s="164"/>
      <c r="GQ57" s="164"/>
      <c r="GR57" s="164"/>
      <c r="GS57" s="164"/>
      <c r="GT57" s="164"/>
      <c r="GU57" s="164"/>
      <c r="GV57" s="164"/>
      <c r="GW57" s="164"/>
      <c r="GX57" s="164"/>
      <c r="GY57" s="164"/>
      <c r="GZ57" s="164"/>
      <c r="HA57" s="164"/>
      <c r="HB57" s="164"/>
      <c r="HC57" s="164"/>
      <c r="HD57" s="164"/>
      <c r="HE57" s="164"/>
      <c r="HF57" s="164"/>
      <c r="HG57" s="164"/>
      <c r="HH57" s="164"/>
      <c r="HI57" s="164"/>
      <c r="HJ57" s="164"/>
      <c r="HK57" s="164"/>
      <c r="HL57" s="164"/>
      <c r="HM57" s="164"/>
      <c r="HN57" s="164"/>
      <c r="HO57" s="164"/>
      <c r="HP57" s="164"/>
      <c r="HQ57" s="164"/>
      <c r="HR57" s="164"/>
      <c r="HS57" s="164"/>
      <c r="HT57" s="164"/>
      <c r="HU57" s="164"/>
      <c r="HV57" s="164"/>
      <c r="HW57" s="164"/>
      <c r="HX57" s="164"/>
      <c r="HY57" s="164"/>
      <c r="HZ57" s="164"/>
      <c r="IA57" s="164"/>
      <c r="IB57" s="164"/>
      <c r="IC57" s="164"/>
      <c r="ID57" s="164"/>
      <c r="IE57" s="164"/>
      <c r="IF57" s="164"/>
      <c r="IG57" s="164"/>
      <c r="IH57" s="164"/>
      <c r="II57" s="164"/>
      <c r="IJ57" s="164"/>
      <c r="IK57" s="164"/>
      <c r="IL57" s="164"/>
      <c r="IM57" s="164"/>
      <c r="IN57" s="164"/>
      <c r="IO57" s="164"/>
      <c r="IP57" s="164"/>
      <c r="IQ57" s="164"/>
      <c r="IR57" s="164"/>
      <c r="IS57" s="164"/>
      <c r="IT57" s="164"/>
      <c r="IU57" s="164"/>
      <c r="IV57" s="164"/>
    </row>
    <row r="58" spans="1:256" s="155" customFormat="1" x14ac:dyDescent="0.3">
      <c r="A58" s="101"/>
      <c r="B58" s="171" t="s">
        <v>22</v>
      </c>
      <c r="C58" s="172"/>
      <c r="D58" s="172"/>
      <c r="E58" s="173"/>
      <c r="F58" s="173">
        <f>F15+F28+E55+F56</f>
        <v>212981.43288421052</v>
      </c>
      <c r="G58" s="103"/>
      <c r="H58" s="103"/>
      <c r="I58" s="103"/>
      <c r="J58" s="103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1"/>
      <c r="EL58" s="101"/>
      <c r="EM58" s="101"/>
      <c r="EN58" s="101"/>
      <c r="EO58" s="101"/>
      <c r="EP58" s="101"/>
      <c r="EQ58" s="101"/>
      <c r="ER58" s="101"/>
      <c r="ES58" s="101"/>
      <c r="ET58" s="101"/>
      <c r="EU58" s="101"/>
      <c r="EV58" s="101"/>
      <c r="EW58" s="101"/>
      <c r="EX58" s="101"/>
      <c r="EY58" s="101"/>
      <c r="EZ58" s="101"/>
      <c r="FA58" s="101"/>
      <c r="FB58" s="101"/>
      <c r="FC58" s="101"/>
      <c r="FD58" s="101"/>
      <c r="FE58" s="101"/>
      <c r="FF58" s="101"/>
      <c r="FG58" s="101"/>
      <c r="FH58" s="101"/>
      <c r="FI58" s="101"/>
      <c r="FJ58" s="101"/>
      <c r="FK58" s="101"/>
      <c r="FL58" s="101"/>
      <c r="FM58" s="101"/>
      <c r="FN58" s="101"/>
      <c r="FO58" s="101"/>
      <c r="FP58" s="101"/>
      <c r="FQ58" s="101"/>
      <c r="FR58" s="101"/>
      <c r="FS58" s="101"/>
      <c r="FT58" s="101"/>
      <c r="FU58" s="101"/>
      <c r="FV58" s="101"/>
      <c r="FW58" s="101"/>
      <c r="FX58" s="101"/>
      <c r="FY58" s="101"/>
      <c r="FZ58" s="101"/>
      <c r="GA58" s="101"/>
      <c r="GB58" s="101"/>
      <c r="GC58" s="101"/>
      <c r="GD58" s="101"/>
      <c r="GE58" s="101"/>
      <c r="GF58" s="101"/>
      <c r="GG58" s="101"/>
      <c r="GH58" s="101"/>
      <c r="GI58" s="101"/>
      <c r="GJ58" s="101"/>
      <c r="GK58" s="101"/>
      <c r="GL58" s="101"/>
      <c r="GM58" s="101"/>
      <c r="GN58" s="101"/>
      <c r="GO58" s="101"/>
      <c r="GP58" s="101"/>
      <c r="GQ58" s="101"/>
      <c r="GR58" s="101"/>
      <c r="GS58" s="101"/>
      <c r="GT58" s="101"/>
      <c r="GU58" s="101"/>
      <c r="GV58" s="101"/>
      <c r="GW58" s="101"/>
      <c r="GX58" s="101"/>
      <c r="GY58" s="101"/>
      <c r="GZ58" s="101"/>
      <c r="HA58" s="101"/>
      <c r="HB58" s="101"/>
      <c r="HC58" s="101"/>
      <c r="HD58" s="101"/>
      <c r="HE58" s="101"/>
      <c r="HF58" s="101"/>
      <c r="HG58" s="101"/>
      <c r="HH58" s="101"/>
      <c r="HI58" s="101"/>
      <c r="HJ58" s="101"/>
      <c r="HK58" s="101"/>
      <c r="HL58" s="101"/>
      <c r="HM58" s="101"/>
      <c r="HN58" s="101"/>
      <c r="HO58" s="101"/>
      <c r="HP58" s="101"/>
      <c r="HQ58" s="101"/>
      <c r="HR58" s="101"/>
      <c r="HS58" s="101"/>
      <c r="HT58" s="101"/>
      <c r="HU58" s="101"/>
      <c r="HV58" s="101"/>
      <c r="HW58" s="101"/>
      <c r="HX58" s="101"/>
      <c r="HY58" s="101"/>
      <c r="HZ58" s="101"/>
      <c r="IA58" s="101"/>
      <c r="IB58" s="101"/>
      <c r="IC58" s="101"/>
      <c r="ID58" s="101"/>
      <c r="IE58" s="101"/>
      <c r="IF58" s="101"/>
      <c r="IG58" s="101"/>
      <c r="IH58" s="101"/>
      <c r="II58" s="101"/>
      <c r="IJ58" s="101"/>
      <c r="IK58" s="101"/>
      <c r="IL58" s="101"/>
      <c r="IM58" s="101"/>
      <c r="IN58" s="101"/>
      <c r="IO58" s="101"/>
      <c r="IP58" s="101"/>
      <c r="IQ58" s="101"/>
      <c r="IR58" s="101"/>
      <c r="IS58" s="101"/>
      <c r="IT58" s="101"/>
      <c r="IU58" s="101"/>
      <c r="IV58" s="101"/>
    </row>
    <row r="59" spans="1:256" s="155" customFormat="1" ht="18" x14ac:dyDescent="0.35">
      <c r="A59" s="101"/>
      <c r="B59" s="225" t="s">
        <v>23</v>
      </c>
      <c r="C59" s="226"/>
      <c r="D59" s="227">
        <f>F59/12</f>
        <v>18617.079585701755</v>
      </c>
      <c r="E59" s="226"/>
      <c r="F59" s="228">
        <f>F58+F57</f>
        <v>223404.95502842104</v>
      </c>
      <c r="G59" s="103"/>
      <c r="H59" s="103"/>
      <c r="I59" s="103"/>
      <c r="J59" s="103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1"/>
      <c r="EZ59" s="101"/>
      <c r="FA59" s="101"/>
      <c r="FB59" s="101"/>
      <c r="FC59" s="101"/>
      <c r="FD59" s="101"/>
      <c r="FE59" s="101"/>
      <c r="FF59" s="101"/>
      <c r="FG59" s="101"/>
      <c r="FH59" s="101"/>
      <c r="FI59" s="101"/>
      <c r="FJ59" s="101"/>
      <c r="FK59" s="101"/>
      <c r="FL59" s="101"/>
      <c r="FM59" s="101"/>
      <c r="FN59" s="101"/>
      <c r="FO59" s="101"/>
      <c r="FP59" s="101"/>
      <c r="FQ59" s="101"/>
      <c r="FR59" s="101"/>
      <c r="FS59" s="101"/>
      <c r="FT59" s="101"/>
      <c r="FU59" s="101"/>
      <c r="FV59" s="101"/>
      <c r="FW59" s="101"/>
      <c r="FX59" s="101"/>
      <c r="FY59" s="101"/>
      <c r="FZ59" s="101"/>
      <c r="GA59" s="101"/>
      <c r="GB59" s="101"/>
      <c r="GC59" s="101"/>
      <c r="GD59" s="101"/>
      <c r="GE59" s="101"/>
      <c r="GF59" s="101"/>
      <c r="GG59" s="101"/>
      <c r="GH59" s="101"/>
      <c r="GI59" s="101"/>
      <c r="GJ59" s="101"/>
      <c r="GK59" s="101"/>
      <c r="GL59" s="101"/>
      <c r="GM59" s="101"/>
      <c r="GN59" s="101"/>
      <c r="GO59" s="101"/>
      <c r="GP59" s="101"/>
      <c r="GQ59" s="101"/>
      <c r="GR59" s="101"/>
      <c r="GS59" s="101"/>
      <c r="GT59" s="101"/>
      <c r="GU59" s="101"/>
      <c r="GV59" s="101"/>
      <c r="GW59" s="101"/>
      <c r="GX59" s="101"/>
      <c r="GY59" s="101"/>
      <c r="GZ59" s="101"/>
      <c r="HA59" s="101"/>
      <c r="HB59" s="101"/>
      <c r="HC59" s="101"/>
      <c r="HD59" s="101"/>
      <c r="HE59" s="101"/>
      <c r="HF59" s="101"/>
      <c r="HG59" s="101"/>
      <c r="HH59" s="101"/>
      <c r="HI59" s="101"/>
      <c r="HJ59" s="101"/>
      <c r="HK59" s="101"/>
      <c r="HL59" s="101"/>
      <c r="HM59" s="101"/>
      <c r="HN59" s="101"/>
      <c r="HO59" s="101"/>
      <c r="HP59" s="101"/>
      <c r="HQ59" s="101"/>
      <c r="HR59" s="101"/>
      <c r="HS59" s="101"/>
      <c r="HT59" s="101"/>
      <c r="HU59" s="101"/>
      <c r="HV59" s="101"/>
      <c r="HW59" s="101"/>
      <c r="HX59" s="101"/>
      <c r="HY59" s="101"/>
      <c r="HZ59" s="101"/>
      <c r="IA59" s="101"/>
      <c r="IB59" s="101"/>
      <c r="IC59" s="101"/>
      <c r="ID59" s="101"/>
      <c r="IE59" s="101"/>
      <c r="IF59" s="101"/>
      <c r="IG59" s="101"/>
      <c r="IH59" s="101"/>
      <c r="II59" s="101"/>
      <c r="IJ59" s="101"/>
      <c r="IK59" s="101"/>
      <c r="IL59" s="101"/>
      <c r="IM59" s="101"/>
      <c r="IN59" s="101"/>
      <c r="IO59" s="101"/>
      <c r="IP59" s="101"/>
      <c r="IQ59" s="101"/>
      <c r="IR59" s="101"/>
      <c r="IS59" s="101"/>
      <c r="IT59" s="101"/>
      <c r="IU59" s="101"/>
      <c r="IV59" s="101"/>
    </row>
    <row r="60" spans="1:256" s="155" customFormat="1" ht="20.399999999999999" x14ac:dyDescent="0.35">
      <c r="A60" s="207" t="s">
        <v>159</v>
      </c>
      <c r="B60" s="223" t="s">
        <v>171</v>
      </c>
      <c r="C60" s="174"/>
      <c r="D60" s="198"/>
      <c r="E60" s="174"/>
      <c r="F60" s="229" t="s">
        <v>184</v>
      </c>
      <c r="G60" s="101"/>
      <c r="H60" s="101"/>
      <c r="I60" s="101"/>
      <c r="J60" s="101"/>
      <c r="K60" s="101"/>
      <c r="L60" s="127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1"/>
      <c r="EZ60" s="101"/>
      <c r="FA60" s="101"/>
      <c r="FB60" s="101"/>
      <c r="FC60" s="101"/>
      <c r="FD60" s="101"/>
      <c r="FE60" s="101"/>
      <c r="FF60" s="101"/>
      <c r="FG60" s="101"/>
      <c r="FH60" s="101"/>
      <c r="FI60" s="101"/>
      <c r="FJ60" s="101"/>
      <c r="FK60" s="101"/>
      <c r="FL60" s="101"/>
      <c r="FM60" s="101"/>
      <c r="FN60" s="101"/>
      <c r="FO60" s="101"/>
      <c r="FP60" s="101"/>
      <c r="FQ60" s="101"/>
      <c r="FR60" s="101"/>
      <c r="FS60" s="101"/>
      <c r="FT60" s="101"/>
      <c r="FU60" s="101"/>
      <c r="FV60" s="101"/>
      <c r="FW60" s="101"/>
      <c r="FX60" s="101"/>
      <c r="FY60" s="101"/>
      <c r="FZ60" s="101"/>
      <c r="GA60" s="101"/>
      <c r="GB60" s="101"/>
      <c r="GC60" s="101"/>
      <c r="GD60" s="101"/>
      <c r="GE60" s="101"/>
      <c r="GF60" s="101"/>
      <c r="GG60" s="101"/>
      <c r="GH60" s="101"/>
      <c r="GI60" s="101"/>
      <c r="GJ60" s="101"/>
      <c r="GK60" s="101"/>
      <c r="GL60" s="101"/>
      <c r="GM60" s="101"/>
      <c r="GN60" s="101"/>
      <c r="GO60" s="101"/>
      <c r="GP60" s="101"/>
      <c r="GQ60" s="101"/>
      <c r="GR60" s="101"/>
      <c r="GS60" s="101"/>
      <c r="GT60" s="101"/>
      <c r="GU60" s="101"/>
      <c r="GV60" s="101"/>
      <c r="GW60" s="101"/>
      <c r="GX60" s="101"/>
      <c r="GY60" s="101"/>
      <c r="GZ60" s="101"/>
      <c r="HA60" s="101"/>
      <c r="HB60" s="101"/>
      <c r="HC60" s="101"/>
      <c r="HD60" s="101"/>
      <c r="HE60" s="101"/>
      <c r="HF60" s="101"/>
      <c r="HG60" s="101"/>
      <c r="HH60" s="101"/>
      <c r="HI60" s="101"/>
      <c r="HJ60" s="101"/>
      <c r="HK60" s="101"/>
      <c r="HL60" s="101"/>
      <c r="HM60" s="101"/>
      <c r="HN60" s="101"/>
      <c r="HO60" s="101"/>
      <c r="HP60" s="101"/>
      <c r="HQ60" s="101"/>
      <c r="HR60" s="101"/>
      <c r="HS60" s="101"/>
      <c r="HT60" s="101"/>
      <c r="HU60" s="101"/>
      <c r="HV60" s="101"/>
      <c r="HW60" s="101"/>
      <c r="HX60" s="101"/>
      <c r="HY60" s="101"/>
      <c r="HZ60" s="101"/>
      <c r="IA60" s="101"/>
      <c r="IB60" s="101"/>
      <c r="IC60" s="101"/>
      <c r="ID60" s="101"/>
      <c r="IE60" s="101"/>
      <c r="IF60" s="101"/>
      <c r="IG60" s="101"/>
      <c r="IH60" s="101"/>
      <c r="II60" s="101"/>
      <c r="IJ60" s="101"/>
      <c r="IK60" s="101"/>
      <c r="IL60" s="101"/>
      <c r="IM60" s="101"/>
      <c r="IN60" s="101"/>
      <c r="IO60" s="101"/>
      <c r="IP60" s="101"/>
      <c r="IQ60" s="101"/>
      <c r="IR60" s="101"/>
      <c r="IS60" s="101"/>
      <c r="IT60" s="101"/>
      <c r="IU60" s="101"/>
      <c r="IV60" s="101"/>
    </row>
    <row r="61" spans="1:256" s="148" customFormat="1" x14ac:dyDescent="0.3">
      <c r="A61" s="101"/>
      <c r="B61" s="102" t="s">
        <v>114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1"/>
      <c r="EZ61" s="101"/>
      <c r="FA61" s="101"/>
      <c r="FB61" s="101"/>
      <c r="FC61" s="101"/>
      <c r="FD61" s="101"/>
      <c r="FE61" s="101"/>
      <c r="FF61" s="101"/>
      <c r="FG61" s="101"/>
      <c r="FH61" s="101"/>
      <c r="FI61" s="101"/>
      <c r="FJ61" s="101"/>
      <c r="FK61" s="101"/>
      <c r="FL61" s="101"/>
      <c r="FM61" s="101"/>
      <c r="FN61" s="101"/>
      <c r="FO61" s="101"/>
      <c r="FP61" s="101"/>
      <c r="FQ61" s="101"/>
      <c r="FR61" s="101"/>
      <c r="FS61" s="101"/>
      <c r="FT61" s="101"/>
      <c r="FU61" s="101"/>
      <c r="FV61" s="101"/>
      <c r="FW61" s="101"/>
      <c r="FX61" s="101"/>
      <c r="FY61" s="101"/>
      <c r="FZ61" s="101"/>
      <c r="GA61" s="101"/>
      <c r="GB61" s="101"/>
      <c r="GC61" s="101"/>
      <c r="GD61" s="101"/>
      <c r="GE61" s="101"/>
      <c r="GF61" s="101"/>
      <c r="GG61" s="101"/>
      <c r="GH61" s="101"/>
      <c r="GI61" s="101"/>
      <c r="GJ61" s="101"/>
      <c r="GK61" s="101"/>
      <c r="GL61" s="101"/>
      <c r="GM61" s="101"/>
      <c r="GN61" s="101"/>
      <c r="GO61" s="101"/>
      <c r="GP61" s="101"/>
      <c r="GQ61" s="101"/>
      <c r="GR61" s="101"/>
      <c r="GS61" s="101"/>
      <c r="GT61" s="101"/>
      <c r="GU61" s="101"/>
      <c r="GV61" s="101"/>
      <c r="GW61" s="101"/>
      <c r="GX61" s="101"/>
      <c r="GY61" s="101"/>
      <c r="GZ61" s="101"/>
      <c r="HA61" s="101"/>
      <c r="HB61" s="101"/>
      <c r="HC61" s="101"/>
      <c r="HD61" s="101"/>
      <c r="HE61" s="101"/>
      <c r="HF61" s="101"/>
      <c r="HG61" s="101"/>
      <c r="HH61" s="101"/>
      <c r="HI61" s="101"/>
      <c r="HJ61" s="101"/>
      <c r="HK61" s="101"/>
      <c r="HL61" s="101"/>
      <c r="HM61" s="101"/>
      <c r="HN61" s="101"/>
      <c r="HO61" s="101"/>
      <c r="HP61" s="101"/>
      <c r="HQ61" s="101"/>
      <c r="HR61" s="101"/>
      <c r="HS61" s="101"/>
      <c r="HT61" s="101"/>
      <c r="HU61" s="101"/>
      <c r="HV61" s="101"/>
      <c r="HW61" s="101"/>
      <c r="HX61" s="101"/>
      <c r="HY61" s="101"/>
      <c r="HZ61" s="101"/>
      <c r="IA61" s="101"/>
      <c r="IB61" s="101"/>
      <c r="IC61" s="101"/>
      <c r="ID61" s="101"/>
      <c r="IE61" s="101"/>
      <c r="IF61" s="101"/>
      <c r="IG61" s="101"/>
      <c r="IH61" s="101"/>
      <c r="II61" s="101"/>
      <c r="IJ61" s="101"/>
      <c r="IK61" s="101"/>
      <c r="IL61" s="101"/>
      <c r="IM61" s="101"/>
      <c r="IN61" s="101"/>
      <c r="IO61" s="101"/>
      <c r="IP61" s="101"/>
      <c r="IQ61" s="101"/>
      <c r="IR61" s="101"/>
      <c r="IS61" s="101"/>
      <c r="IT61" s="101"/>
      <c r="IU61" s="101"/>
      <c r="IV61" s="101"/>
    </row>
    <row r="62" spans="1:256" s="175" customFormat="1" ht="16.2" thickBot="1" x14ac:dyDescent="0.35">
      <c r="A62" s="101"/>
      <c r="B62" s="102" t="s">
        <v>109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1"/>
      <c r="EF62" s="101"/>
      <c r="EG62" s="101"/>
      <c r="EH62" s="101"/>
      <c r="EI62" s="101"/>
      <c r="EJ62" s="101"/>
      <c r="EK62" s="101"/>
      <c r="EL62" s="101"/>
      <c r="EM62" s="101"/>
      <c r="EN62" s="101"/>
      <c r="EO62" s="101"/>
      <c r="EP62" s="101"/>
      <c r="EQ62" s="101"/>
      <c r="ER62" s="101"/>
      <c r="ES62" s="101"/>
      <c r="ET62" s="101"/>
      <c r="EU62" s="101"/>
      <c r="EV62" s="101"/>
      <c r="EW62" s="101"/>
      <c r="EX62" s="101"/>
      <c r="EY62" s="101"/>
      <c r="EZ62" s="101"/>
      <c r="FA62" s="101"/>
      <c r="FB62" s="101"/>
      <c r="FC62" s="101"/>
      <c r="FD62" s="101"/>
      <c r="FE62" s="101"/>
      <c r="FF62" s="101"/>
      <c r="FG62" s="101"/>
      <c r="FH62" s="101"/>
      <c r="FI62" s="101"/>
      <c r="FJ62" s="101"/>
      <c r="FK62" s="101"/>
      <c r="FL62" s="101"/>
      <c r="FM62" s="101"/>
      <c r="FN62" s="101"/>
      <c r="FO62" s="101"/>
      <c r="FP62" s="101"/>
      <c r="FQ62" s="101"/>
      <c r="FR62" s="101"/>
      <c r="FS62" s="101"/>
      <c r="FT62" s="101"/>
      <c r="FU62" s="101"/>
      <c r="FV62" s="101"/>
      <c r="FW62" s="101"/>
      <c r="FX62" s="101"/>
      <c r="FY62" s="101"/>
      <c r="FZ62" s="101"/>
      <c r="GA62" s="101"/>
      <c r="GB62" s="101"/>
      <c r="GC62" s="101"/>
      <c r="GD62" s="101"/>
      <c r="GE62" s="101"/>
      <c r="GF62" s="101"/>
      <c r="GG62" s="101"/>
      <c r="GH62" s="101"/>
      <c r="GI62" s="101"/>
      <c r="GJ62" s="101"/>
      <c r="GK62" s="101"/>
      <c r="GL62" s="101"/>
      <c r="GM62" s="101"/>
      <c r="GN62" s="101"/>
      <c r="GO62" s="101"/>
      <c r="GP62" s="101"/>
      <c r="GQ62" s="101"/>
      <c r="GR62" s="101"/>
      <c r="GS62" s="101"/>
      <c r="GT62" s="101"/>
      <c r="GU62" s="101"/>
      <c r="GV62" s="101"/>
      <c r="GW62" s="101"/>
      <c r="GX62" s="101"/>
      <c r="GY62" s="101"/>
      <c r="GZ62" s="101"/>
      <c r="HA62" s="101"/>
      <c r="HB62" s="101"/>
      <c r="HC62" s="101"/>
      <c r="HD62" s="101"/>
      <c r="HE62" s="101"/>
      <c r="HF62" s="101"/>
      <c r="HG62" s="101"/>
      <c r="HH62" s="101"/>
      <c r="HI62" s="101"/>
      <c r="HJ62" s="101"/>
      <c r="HK62" s="101"/>
      <c r="HL62" s="101"/>
      <c r="HM62" s="101"/>
      <c r="HN62" s="101"/>
      <c r="HO62" s="101"/>
      <c r="HP62" s="101"/>
      <c r="HQ62" s="101"/>
      <c r="HR62" s="101"/>
      <c r="HS62" s="101"/>
      <c r="HT62" s="101"/>
      <c r="HU62" s="101"/>
      <c r="HV62" s="101"/>
      <c r="HW62" s="101"/>
      <c r="HX62" s="101"/>
      <c r="HY62" s="101"/>
      <c r="HZ62" s="101"/>
      <c r="IA62" s="101"/>
      <c r="IB62" s="101"/>
      <c r="IC62" s="101"/>
      <c r="ID62" s="101"/>
      <c r="IE62" s="101"/>
      <c r="IF62" s="101"/>
      <c r="IG62" s="101"/>
      <c r="IH62" s="101"/>
      <c r="II62" s="101"/>
      <c r="IJ62" s="101"/>
      <c r="IK62" s="101"/>
      <c r="IL62" s="101"/>
      <c r="IM62" s="101"/>
      <c r="IN62" s="101"/>
      <c r="IO62" s="101"/>
      <c r="IP62" s="101"/>
      <c r="IQ62" s="101"/>
      <c r="IR62" s="101"/>
      <c r="IS62" s="101"/>
      <c r="IT62" s="101"/>
      <c r="IU62" s="101"/>
      <c r="IV62" s="101"/>
    </row>
    <row r="63" spans="1:256" ht="64.5" customHeight="1" x14ac:dyDescent="0.3">
      <c r="B63" s="324" t="s">
        <v>24</v>
      </c>
      <c r="C63" s="176">
        <v>71400</v>
      </c>
      <c r="D63" s="177">
        <f>F28+F56-517.88*3-F18</f>
        <v>55449.665200000018</v>
      </c>
      <c r="E63" s="178"/>
      <c r="F63" s="179" t="s">
        <v>145</v>
      </c>
      <c r="K63" s="329"/>
      <c r="L63" s="127"/>
      <c r="M63" s="127"/>
    </row>
    <row r="64" spans="1:256" ht="21.75" customHeight="1" thickBot="1" x14ac:dyDescent="0.35">
      <c r="B64" s="325"/>
      <c r="C64" s="180">
        <v>61200</v>
      </c>
      <c r="D64" s="181">
        <f>F18</f>
        <v>27844.800000000003</v>
      </c>
      <c r="E64" s="180"/>
      <c r="F64" s="182" t="s">
        <v>148</v>
      </c>
      <c r="K64" s="330"/>
      <c r="L64" s="127"/>
    </row>
    <row r="65" spans="2:12" ht="16.2" thickBot="1" x14ac:dyDescent="0.35">
      <c r="B65" s="232" t="s">
        <v>25</v>
      </c>
      <c r="C65" s="183">
        <v>73120</v>
      </c>
      <c r="D65" s="184">
        <f>E55+F57</f>
        <v>61220.305828421049</v>
      </c>
      <c r="E65" s="183"/>
      <c r="F65" s="185" t="s">
        <v>172</v>
      </c>
      <c r="L65" s="127"/>
    </row>
    <row r="66" spans="2:12" ht="34.5" customHeight="1" x14ac:dyDescent="0.3">
      <c r="B66" s="326" t="s">
        <v>26</v>
      </c>
      <c r="C66" s="186">
        <v>71400</v>
      </c>
      <c r="D66" s="187">
        <f>F15+517.88*3-F14</f>
        <v>76293.923999999999</v>
      </c>
      <c r="E66" s="186"/>
      <c r="F66" s="188" t="s">
        <v>115</v>
      </c>
      <c r="L66" s="127"/>
    </row>
    <row r="67" spans="2:12" ht="16.2" thickBot="1" x14ac:dyDescent="0.35">
      <c r="B67" s="327"/>
      <c r="C67" s="180">
        <v>71405</v>
      </c>
      <c r="D67" s="181">
        <f>F14</f>
        <v>2596.2600000000002</v>
      </c>
      <c r="E67" s="180"/>
      <c r="F67" s="182" t="s">
        <v>116</v>
      </c>
      <c r="L67" s="127"/>
    </row>
    <row r="68" spans="2:12" ht="16.2" thickBot="1" x14ac:dyDescent="0.35">
      <c r="B68" s="189" t="s">
        <v>77</v>
      </c>
      <c r="C68" s="190"/>
      <c r="D68" s="191">
        <f>SUM(D63:D67)</f>
        <v>223404.95502842107</v>
      </c>
      <c r="E68" s="192"/>
      <c r="F68" s="193"/>
      <c r="L68" s="127"/>
    </row>
    <row r="70" spans="2:12" x14ac:dyDescent="0.3">
      <c r="D70" s="113"/>
      <c r="L70" s="127"/>
    </row>
    <row r="71" spans="2:12" x14ac:dyDescent="0.3">
      <c r="D71" s="127"/>
      <c r="E71" s="127"/>
      <c r="F71" s="127"/>
    </row>
    <row r="72" spans="2:12" x14ac:dyDescent="0.3">
      <c r="F72" s="127"/>
    </row>
    <row r="73" spans="2:12" x14ac:dyDescent="0.3">
      <c r="F73" s="127"/>
    </row>
  </sheetData>
  <mergeCells count="3">
    <mergeCell ref="B63:B64"/>
    <mergeCell ref="K63:K64"/>
    <mergeCell ref="B66:B6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23"/>
  <sheetViews>
    <sheetView workbookViewId="0">
      <selection activeCell="H27" sqref="H27"/>
    </sheetView>
  </sheetViews>
  <sheetFormatPr defaultRowHeight="13.2" x14ac:dyDescent="0.25"/>
  <cols>
    <col min="1" max="1" width="3.33203125" customWidth="1"/>
    <col min="4" max="4" width="11.44140625" customWidth="1"/>
    <col min="5" max="5" width="12.33203125" customWidth="1"/>
    <col min="6" max="6" width="13.6640625" customWidth="1"/>
    <col min="7" max="7" width="11.88671875" customWidth="1"/>
    <col min="8" max="8" width="15.5546875" customWidth="1"/>
    <col min="9" max="9" width="11.44140625" customWidth="1"/>
    <col min="10" max="10" width="10.6640625" customWidth="1"/>
    <col min="13" max="13" width="10.109375" bestFit="1" customWidth="1"/>
  </cols>
  <sheetData>
    <row r="2" spans="1:8" ht="15.6" x14ac:dyDescent="0.3">
      <c r="B2" s="27" t="s">
        <v>204</v>
      </c>
      <c r="H2" s="7"/>
    </row>
    <row r="3" spans="1:8" ht="26.4" x14ac:dyDescent="0.25">
      <c r="A3" s="28" t="s">
        <v>1</v>
      </c>
      <c r="B3" s="28" t="s">
        <v>58</v>
      </c>
      <c r="C3" s="28" t="s">
        <v>225</v>
      </c>
      <c r="D3" s="28" t="s">
        <v>228</v>
      </c>
      <c r="E3" s="28" t="s">
        <v>227</v>
      </c>
      <c r="F3" s="28" t="s">
        <v>229</v>
      </c>
      <c r="G3" s="28" t="s">
        <v>230</v>
      </c>
      <c r="H3" s="28" t="s">
        <v>59</v>
      </c>
    </row>
    <row r="4" spans="1:8" ht="15" customHeight="1" x14ac:dyDescent="0.25">
      <c r="A4" s="5">
        <v>1</v>
      </c>
      <c r="B4" s="26" t="s">
        <v>40</v>
      </c>
      <c r="C4" s="29">
        <f>'Cost_sharing_formula Act1&amp;3'!C21</f>
        <v>0.4007599271734158</v>
      </c>
      <c r="D4" s="297">
        <f>C4*'Costs for 2015'!D49</f>
        <v>4325.5480878644439</v>
      </c>
      <c r="E4" s="294">
        <f>'cost-sharing formula Act4'!C21</f>
        <v>0.41208590327001482</v>
      </c>
      <c r="F4" s="297">
        <f>E4*'Costs for 2015'!D50</f>
        <v>2549.5342749412544</v>
      </c>
      <c r="G4" s="92">
        <f>D4+F4</f>
        <v>6875.0823628056987</v>
      </c>
      <c r="H4" s="92">
        <f>Budget!B61</f>
        <v>82500.988353668377</v>
      </c>
    </row>
    <row r="5" spans="1:8" ht="15" customHeight="1" x14ac:dyDescent="0.25">
      <c r="A5" s="5">
        <v>2</v>
      </c>
      <c r="B5" s="5" t="s">
        <v>42</v>
      </c>
      <c r="C5" s="29">
        <f>'Cost_sharing_formula Act1&amp;3'!D21</f>
        <v>0.1135539167850937</v>
      </c>
      <c r="D5" s="297">
        <f>C5*'Costs for 2015'!D49</f>
        <v>1225.6288473840768</v>
      </c>
      <c r="E5" s="294">
        <f>'cost-sharing formula Act4'!D21</f>
        <v>0.11587588408667271</v>
      </c>
      <c r="F5" s="297">
        <f>E5*'Costs for 2015'!D50</f>
        <v>716.91250725583518</v>
      </c>
      <c r="G5" s="92">
        <f>D5+F5+'Costs for 2015'!D51</f>
        <v>2158.8963546399118</v>
      </c>
      <c r="H5" s="92">
        <f>Budget!B62</f>
        <v>25906.756255678949</v>
      </c>
    </row>
    <row r="6" spans="1:8" ht="15" customHeight="1" x14ac:dyDescent="0.25">
      <c r="A6" s="5">
        <v>3</v>
      </c>
      <c r="B6" s="5" t="s">
        <v>44</v>
      </c>
      <c r="C6" s="29">
        <f>'Cost_sharing_formula Act1&amp;3'!E21</f>
        <v>0.22118992578777236</v>
      </c>
      <c r="D6" s="297">
        <f>C6*'Costs for 2015'!D49</f>
        <v>2387.383557269105</v>
      </c>
      <c r="E6" s="294">
        <f>'cost-sharing formula Act4'!E21</f>
        <v>0.22760614472248564</v>
      </c>
      <c r="F6" s="297">
        <f>E6*'Costs for 2015'!D50</f>
        <v>1408.1764567835462</v>
      </c>
      <c r="G6" s="92">
        <f t="shared" ref="G6:G11" si="0">D6+F6</f>
        <v>3795.5600140526512</v>
      </c>
      <c r="H6" s="92">
        <f>Budget!B63</f>
        <v>45546.720168631815</v>
      </c>
    </row>
    <row r="7" spans="1:8" ht="15" customHeight="1" x14ac:dyDescent="0.25">
      <c r="A7" s="5">
        <v>4</v>
      </c>
      <c r="B7" s="5" t="s">
        <v>45</v>
      </c>
      <c r="C7" s="29">
        <f>'Cost_sharing_formula Act1&amp;3'!F21</f>
        <v>0.11352156516318448</v>
      </c>
      <c r="D7" s="297">
        <f>C7*'Costs for 2015'!D49</f>
        <v>1225.2796645272088</v>
      </c>
      <c r="E7" s="294">
        <f>'cost-sharing formula Act4'!F21</f>
        <v>0.11677039859756733</v>
      </c>
      <c r="F7" s="297">
        <f>E7*'Costs for 2015'!D50</f>
        <v>722.44677908328913</v>
      </c>
      <c r="G7" s="92">
        <f t="shared" si="0"/>
        <v>1947.7264436104979</v>
      </c>
      <c r="H7" s="92">
        <f>Budget!B64</f>
        <v>23372.717323325975</v>
      </c>
    </row>
    <row r="8" spans="1:8" ht="15" customHeight="1" x14ac:dyDescent="0.25">
      <c r="A8" s="5">
        <v>6</v>
      </c>
      <c r="B8" s="5" t="s">
        <v>47</v>
      </c>
      <c r="C8" s="29">
        <f>'Cost_sharing_formula Act1&amp;3'!G21</f>
        <v>6.0123395436635758E-2</v>
      </c>
      <c r="D8" s="297">
        <f>C8*'Costs for 2015'!D49</f>
        <v>648.93373946123677</v>
      </c>
      <c r="E8" s="294">
        <f>'cost-sharing formula Act4'!G21</f>
        <v>6.2072798144989436E-2</v>
      </c>
      <c r="F8" s="297">
        <f>E8*'Costs for 2015'!D50</f>
        <v>384.03819484323503</v>
      </c>
      <c r="G8" s="92">
        <f t="shared" si="0"/>
        <v>1032.9719343044717</v>
      </c>
      <c r="H8" s="92">
        <f>Budget!B65</f>
        <v>12395.663211653664</v>
      </c>
    </row>
    <row r="9" spans="1:8" ht="15" customHeight="1" x14ac:dyDescent="0.25">
      <c r="A9" s="5">
        <v>7</v>
      </c>
      <c r="B9" s="5" t="s">
        <v>49</v>
      </c>
      <c r="C9" s="29">
        <f>'Cost_sharing_formula Act1&amp;3'!H21</f>
        <v>3.6039384671230898E-2</v>
      </c>
      <c r="D9" s="297">
        <f>C9*'Costs for 2015'!D49</f>
        <v>388.98622562379495</v>
      </c>
      <c r="E9" s="294">
        <f>'cost-sharing formula Act4'!H21</f>
        <v>3.7468192668424619E-2</v>
      </c>
      <c r="F9" s="297">
        <f>E9*'Costs for 2015'!D50</f>
        <v>231.81196122027623</v>
      </c>
      <c r="G9" s="92">
        <f t="shared" si="0"/>
        <v>620.79818684407121</v>
      </c>
      <c r="H9" s="92">
        <f>Budget!B66</f>
        <v>7449.5782421288541</v>
      </c>
    </row>
    <row r="10" spans="1:8" ht="15" customHeight="1" x14ac:dyDescent="0.25">
      <c r="A10" s="5">
        <v>8</v>
      </c>
      <c r="B10" s="5" t="s">
        <v>50</v>
      </c>
      <c r="C10" s="29">
        <f>'Cost_sharing_formula Act1&amp;3'!I21</f>
        <v>2.7625892102877053E-2</v>
      </c>
      <c r="D10" s="297">
        <f>C10*'Costs for 2015'!D49</f>
        <v>298.17633116157538</v>
      </c>
      <c r="E10" s="294">
        <f>'cost-sharing formula Act4'!I21</f>
        <v>0</v>
      </c>
      <c r="F10" s="297">
        <f>E10*'Costs for 2015'!D50</f>
        <v>0</v>
      </c>
      <c r="G10" s="92">
        <f t="shared" si="0"/>
        <v>298.17633116157538</v>
      </c>
      <c r="H10" s="92">
        <f>Budget!B67</f>
        <v>3578.115973938905</v>
      </c>
    </row>
    <row r="11" spans="1:8" ht="15" customHeight="1" x14ac:dyDescent="0.25">
      <c r="A11" s="5">
        <v>9</v>
      </c>
      <c r="B11" s="5" t="s">
        <v>52</v>
      </c>
      <c r="C11" s="29">
        <f>'Cost_sharing_formula Act1&amp;3'!J21</f>
        <v>2.7185992879789976E-2</v>
      </c>
      <c r="D11" s="297">
        <f>C11*'Costs for 2015'!D49</f>
        <v>293.42833837522585</v>
      </c>
      <c r="E11" s="294">
        <f>'cost-sharing formula Act4'!J21</f>
        <v>2.8120678509845429E-2</v>
      </c>
      <c r="F11" s="297">
        <f>E11*'Costs for 2015'!D50</f>
        <v>173.97982587256266</v>
      </c>
      <c r="G11" s="92">
        <f t="shared" si="0"/>
        <v>467.40816424778848</v>
      </c>
      <c r="H11" s="92">
        <f>Budget!B68</f>
        <v>5608.8979709734622</v>
      </c>
    </row>
    <row r="12" spans="1:8" ht="15" customHeight="1" x14ac:dyDescent="0.25">
      <c r="A12" s="331" t="s">
        <v>12</v>
      </c>
      <c r="B12" s="332"/>
      <c r="C12" s="30">
        <f t="shared" ref="C12:H12" si="1">SUM(C4:C11)</f>
        <v>1</v>
      </c>
      <c r="D12" s="31">
        <f t="shared" si="1"/>
        <v>10793.36479166667</v>
      </c>
      <c r="E12" s="295">
        <f t="shared" si="1"/>
        <v>1</v>
      </c>
      <c r="F12" s="296">
        <f t="shared" si="1"/>
        <v>6186.8999999999987</v>
      </c>
      <c r="G12" s="196">
        <f t="shared" si="1"/>
        <v>17196.619791666668</v>
      </c>
      <c r="H12" s="196">
        <f t="shared" si="1"/>
        <v>206359.43749999997</v>
      </c>
    </row>
    <row r="13" spans="1:8" x14ac:dyDescent="0.25">
      <c r="D13" s="6"/>
    </row>
    <row r="15" spans="1:8" x14ac:dyDescent="0.25">
      <c r="E15" s="6"/>
      <c r="F15" s="6"/>
    </row>
    <row r="18" spans="5:5" x14ac:dyDescent="0.25">
      <c r="E18" s="96"/>
    </row>
    <row r="19" spans="5:5" x14ac:dyDescent="0.25">
      <c r="E19" s="96"/>
    </row>
    <row r="20" spans="5:5" x14ac:dyDescent="0.25">
      <c r="E20" s="97"/>
    </row>
    <row r="22" spans="5:5" x14ac:dyDescent="0.25">
      <c r="E22" s="6"/>
    </row>
    <row r="23" spans="5:5" x14ac:dyDescent="0.25">
      <c r="E23" s="97"/>
    </row>
  </sheetData>
  <mergeCells count="1">
    <mergeCell ref="A12:B12"/>
  </mergeCells>
  <phoneticPr fontId="0" type="noConversion"/>
  <conditionalFormatting sqref="E4:E11">
    <cfRule type="expression" priority="2" stopIfTrue="1">
      <formula>"rounded up to the nearest figure"</formula>
    </cfRule>
  </conditionalFormatting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45"/>
  <sheetViews>
    <sheetView zoomScale="90" zoomScaleNormal="90" workbookViewId="0">
      <pane xSplit="1" ySplit="2" topLeftCell="B6" activePane="bottomRight" state="frozen"/>
      <selection pane="topRight" activeCell="B1" sqref="B1"/>
      <selection pane="bottomLeft" activeCell="A2" sqref="A2"/>
      <selection pane="bottomRight" activeCell="H55" sqref="H55"/>
    </sheetView>
  </sheetViews>
  <sheetFormatPr defaultRowHeight="13.2" x14ac:dyDescent="0.25"/>
  <cols>
    <col min="1" max="1" width="36" customWidth="1"/>
    <col min="2" max="2" width="15.33203125" style="56" customWidth="1"/>
    <col min="3" max="3" width="14.44140625" style="56" customWidth="1"/>
    <col min="4" max="4" width="14.109375" style="56" customWidth="1"/>
    <col min="5" max="5" width="14.5546875" style="56" customWidth="1"/>
    <col min="6" max="6" width="14.33203125" style="56" customWidth="1"/>
    <col min="7" max="7" width="12.88671875" style="56" customWidth="1"/>
    <col min="8" max="8" width="14.44140625" style="56" bestFit="1" customWidth="1"/>
    <col min="9" max="9" width="13.6640625" style="57" customWidth="1"/>
    <col min="10" max="10" width="14.44140625" style="56" bestFit="1" customWidth="1"/>
    <col min="11" max="11" width="15.33203125" style="56" customWidth="1"/>
    <col min="12" max="12" width="10.6640625" customWidth="1"/>
  </cols>
  <sheetData>
    <row r="1" spans="1:11" ht="29.25" customHeight="1" thickBot="1" x14ac:dyDescent="0.3">
      <c r="B1" s="347" t="s">
        <v>217</v>
      </c>
      <c r="C1" s="347"/>
      <c r="D1" s="347"/>
      <c r="E1" s="347"/>
      <c r="F1" s="347"/>
      <c r="G1" s="347"/>
      <c r="H1" s="347"/>
      <c r="I1" s="347"/>
    </row>
    <row r="2" spans="1:11" ht="21" customHeight="1" thickBot="1" x14ac:dyDescent="0.3">
      <c r="A2" s="32" t="s">
        <v>60</v>
      </c>
      <c r="B2" s="33" t="s">
        <v>61</v>
      </c>
      <c r="C2" s="33" t="s">
        <v>40</v>
      </c>
      <c r="D2" s="33" t="s">
        <v>42</v>
      </c>
      <c r="E2" s="33" t="s">
        <v>44</v>
      </c>
      <c r="F2" s="33" t="s">
        <v>45</v>
      </c>
      <c r="G2" s="33" t="s">
        <v>47</v>
      </c>
      <c r="H2" s="33" t="s">
        <v>49</v>
      </c>
      <c r="I2" s="33" t="s">
        <v>50</v>
      </c>
      <c r="J2" s="33" t="s">
        <v>52</v>
      </c>
      <c r="K2" s="34" t="s">
        <v>12</v>
      </c>
    </row>
    <row r="3" spans="1:11" ht="17.100000000000001" customHeight="1" thickTop="1" x14ac:dyDescent="0.25">
      <c r="A3" s="35" t="s">
        <v>62</v>
      </c>
      <c r="B3" s="36">
        <v>63.76</v>
      </c>
      <c r="C3" s="37">
        <v>22.71</v>
      </c>
      <c r="D3" s="37">
        <v>29.87</v>
      </c>
      <c r="E3" s="37">
        <v>22.71</v>
      </c>
      <c r="F3" s="37">
        <v>22.71</v>
      </c>
      <c r="G3" s="37">
        <v>0</v>
      </c>
      <c r="H3" s="37">
        <v>0</v>
      </c>
      <c r="I3" s="37">
        <v>0</v>
      </c>
      <c r="J3" s="37">
        <v>0</v>
      </c>
      <c r="K3" s="38">
        <f t="shared" ref="K3:K11" si="0">SUM(B3:J3)</f>
        <v>161.76000000000002</v>
      </c>
    </row>
    <row r="4" spans="1:11" ht="17.100000000000001" customHeight="1" x14ac:dyDescent="0.25">
      <c r="A4" s="35" t="s">
        <v>63</v>
      </c>
      <c r="B4" s="36">
        <v>426.31</v>
      </c>
      <c r="C4" s="37">
        <v>84.64</v>
      </c>
      <c r="D4" s="37">
        <v>101.61</v>
      </c>
      <c r="E4" s="37">
        <v>60.42</v>
      </c>
      <c r="F4" s="37">
        <v>25.4</v>
      </c>
      <c r="G4" s="37">
        <v>0</v>
      </c>
      <c r="H4" s="37">
        <v>0</v>
      </c>
      <c r="I4" s="37">
        <v>22.42</v>
      </c>
      <c r="J4" s="37">
        <v>0</v>
      </c>
      <c r="K4" s="38">
        <f t="shared" si="0"/>
        <v>720.79999999999984</v>
      </c>
    </row>
    <row r="5" spans="1:11" ht="17.100000000000001" customHeight="1" x14ac:dyDescent="0.25">
      <c r="A5" s="35" t="s">
        <v>64</v>
      </c>
      <c r="B5" s="36">
        <f>284.27-74.67-E5</f>
        <v>179.67999999999995</v>
      </c>
      <c r="C5" s="37">
        <f>117.55+74.67</f>
        <v>192.22</v>
      </c>
      <c r="D5" s="37">
        <v>129.88</v>
      </c>
      <c r="E5" s="37">
        <v>29.92</v>
      </c>
      <c r="F5" s="37">
        <v>0</v>
      </c>
      <c r="G5" s="37">
        <v>0</v>
      </c>
      <c r="H5" s="37">
        <v>35.4</v>
      </c>
      <c r="I5" s="86">
        <v>15.33</v>
      </c>
      <c r="J5" s="37">
        <v>36.54</v>
      </c>
      <c r="K5" s="38">
        <f t="shared" si="0"/>
        <v>618.96999999999991</v>
      </c>
    </row>
    <row r="6" spans="1:11" ht="17.100000000000001" customHeight="1" x14ac:dyDescent="0.25">
      <c r="A6" s="39" t="s">
        <v>65</v>
      </c>
      <c r="B6" s="36">
        <v>221.52</v>
      </c>
      <c r="C6" s="87">
        <v>407.64</v>
      </c>
      <c r="D6" s="40">
        <v>0</v>
      </c>
      <c r="E6" s="87">
        <v>19.399999999999999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1">
        <f t="shared" si="0"/>
        <v>648.55999999999995</v>
      </c>
    </row>
    <row r="7" spans="1:11" ht="17.100000000000001" customHeight="1" x14ac:dyDescent="0.25">
      <c r="A7" s="39" t="s">
        <v>66</v>
      </c>
      <c r="B7" s="36">
        <v>4.9400000000000004</v>
      </c>
      <c r="C7" s="40">
        <v>0</v>
      </c>
      <c r="D7" s="40">
        <v>0</v>
      </c>
      <c r="E7" s="40">
        <v>246.53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1">
        <f t="shared" si="0"/>
        <v>251.47</v>
      </c>
    </row>
    <row r="8" spans="1:11" ht="17.100000000000001" customHeight="1" x14ac:dyDescent="0.25">
      <c r="A8" s="39" t="s">
        <v>82</v>
      </c>
      <c r="B8" s="36">
        <v>48.23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1">
        <f t="shared" si="0"/>
        <v>48.23</v>
      </c>
    </row>
    <row r="9" spans="1:11" ht="17.100000000000001" customHeight="1" x14ac:dyDescent="0.25">
      <c r="A9" s="39" t="s">
        <v>67</v>
      </c>
      <c r="B9" s="36">
        <f>46.93+7.25+8.33</f>
        <v>62.51</v>
      </c>
      <c r="C9" s="40">
        <v>0</v>
      </c>
      <c r="D9" s="40">
        <v>0</v>
      </c>
      <c r="E9" s="40">
        <v>0</v>
      </c>
      <c r="F9" s="40">
        <f>113.75+35.68</f>
        <v>149.43</v>
      </c>
      <c r="G9" s="40">
        <f>58.97-7.25+37.18</f>
        <v>88.9</v>
      </c>
      <c r="H9" s="40">
        <v>0</v>
      </c>
      <c r="I9" s="40">
        <v>0</v>
      </c>
      <c r="J9" s="40">
        <v>0</v>
      </c>
      <c r="K9" s="41">
        <f t="shared" si="0"/>
        <v>300.84000000000003</v>
      </c>
    </row>
    <row r="10" spans="1:11" s="45" customFormat="1" ht="17.100000000000001" customHeight="1" x14ac:dyDescent="0.25">
      <c r="A10" s="42" t="s">
        <v>68</v>
      </c>
      <c r="B10" s="43">
        <f t="shared" ref="B10:G10" si="1">SUM(B3:B9)</f>
        <v>1006.95</v>
      </c>
      <c r="C10" s="44">
        <f t="shared" si="1"/>
        <v>707.21</v>
      </c>
      <c r="D10" s="44">
        <f t="shared" si="1"/>
        <v>261.36</v>
      </c>
      <c r="E10" s="43">
        <f t="shared" si="1"/>
        <v>378.98</v>
      </c>
      <c r="F10" s="44">
        <f>SUM(F3:F9)</f>
        <v>197.54000000000002</v>
      </c>
      <c r="G10" s="44">
        <f t="shared" si="1"/>
        <v>88.9</v>
      </c>
      <c r="H10" s="44">
        <f>SUM(H3:H9)</f>
        <v>35.4</v>
      </c>
      <c r="I10" s="44">
        <f>SUM(I3:I9)</f>
        <v>37.75</v>
      </c>
      <c r="J10" s="44">
        <f>SUM(J3:J9)</f>
        <v>36.54</v>
      </c>
      <c r="K10" s="41">
        <f t="shared" si="0"/>
        <v>2750.63</v>
      </c>
    </row>
    <row r="11" spans="1:11" ht="17.100000000000001" customHeight="1" thickBot="1" x14ac:dyDescent="0.3">
      <c r="A11" s="46" t="s">
        <v>69</v>
      </c>
      <c r="B11" s="251">
        <f>B10/K10</f>
        <v>0.36607977081614029</v>
      </c>
      <c r="C11" s="251">
        <f>C10/K10</f>
        <v>0.25710837153670252</v>
      </c>
      <c r="D11" s="251">
        <f>D10/K10</f>
        <v>9.5018232186808119E-2</v>
      </c>
      <c r="E11" s="251">
        <f>E10/K10</f>
        <v>0.13777934509548723</v>
      </c>
      <c r="F11" s="251">
        <f>F10/K10</f>
        <v>7.181627481704192E-2</v>
      </c>
      <c r="G11" s="251">
        <f>G10/$K$10</f>
        <v>3.2319868539207382E-2</v>
      </c>
      <c r="H11" s="251">
        <f>H10/$K$10</f>
        <v>1.2869778923373917E-2</v>
      </c>
      <c r="I11" s="251">
        <f>I10/$K$10</f>
        <v>1.3724128654162863E-2</v>
      </c>
      <c r="J11" s="251">
        <f>J10/K10</f>
        <v>1.3284229431075789E-2</v>
      </c>
      <c r="K11" s="251">
        <f t="shared" si="0"/>
        <v>1</v>
      </c>
    </row>
    <row r="12" spans="1:11" ht="14.25" customHeight="1" thickBot="1" x14ac:dyDescent="0.3">
      <c r="A12" s="47"/>
      <c r="B12" s="48"/>
      <c r="C12" s="252"/>
      <c r="D12" s="252"/>
      <c r="E12" s="253"/>
      <c r="F12" s="252"/>
      <c r="G12" s="252"/>
      <c r="H12" s="252"/>
      <c r="I12" s="252"/>
      <c r="J12" s="252"/>
      <c r="K12" s="49"/>
    </row>
    <row r="13" spans="1:11" ht="21" customHeight="1" thickBot="1" x14ac:dyDescent="0.3">
      <c r="A13" s="336" t="s">
        <v>70</v>
      </c>
      <c r="B13" s="337"/>
      <c r="C13" s="33" t="s">
        <v>40</v>
      </c>
      <c r="D13" s="33" t="s">
        <v>42</v>
      </c>
      <c r="E13" s="33" t="s">
        <v>44</v>
      </c>
      <c r="F13" s="33" t="s">
        <v>45</v>
      </c>
      <c r="G13" s="33" t="s">
        <v>47</v>
      </c>
      <c r="H13" s="33" t="s">
        <v>49</v>
      </c>
      <c r="I13" s="33" t="s">
        <v>50</v>
      </c>
      <c r="J13" s="33" t="s">
        <v>52</v>
      </c>
      <c r="K13" s="34" t="s">
        <v>12</v>
      </c>
    </row>
    <row r="14" spans="1:11" ht="17.100000000000001" customHeight="1" thickTop="1" x14ac:dyDescent="0.25">
      <c r="A14" s="338" t="s">
        <v>71</v>
      </c>
      <c r="B14" s="339"/>
      <c r="C14" s="303">
        <v>31</v>
      </c>
      <c r="D14" s="303">
        <v>4</v>
      </c>
      <c r="E14" s="303">
        <v>18</v>
      </c>
      <c r="F14" s="304">
        <v>9</v>
      </c>
      <c r="G14" s="304">
        <v>6</v>
      </c>
      <c r="H14" s="303">
        <v>5</v>
      </c>
      <c r="I14" s="303">
        <v>3</v>
      </c>
      <c r="J14" s="303">
        <v>3</v>
      </c>
      <c r="K14" s="254">
        <f>SUM(B14:J14)</f>
        <v>79</v>
      </c>
    </row>
    <row r="15" spans="1:11" ht="17.100000000000001" customHeight="1" x14ac:dyDescent="0.25">
      <c r="A15" s="348" t="s">
        <v>72</v>
      </c>
      <c r="B15" s="349"/>
      <c r="C15" s="255">
        <f>C14/K14</f>
        <v>0.39240506329113922</v>
      </c>
      <c r="D15" s="255">
        <f>D14/K14</f>
        <v>5.0632911392405063E-2</v>
      </c>
      <c r="E15" s="255">
        <f>E14/K14</f>
        <v>0.22784810126582278</v>
      </c>
      <c r="F15" s="255">
        <f>F14/K14</f>
        <v>0.11392405063291139</v>
      </c>
      <c r="G15" s="255">
        <f>G14/K14</f>
        <v>7.5949367088607597E-2</v>
      </c>
      <c r="H15" s="255">
        <f>H14/K14</f>
        <v>6.3291139240506333E-2</v>
      </c>
      <c r="I15" s="255">
        <f>I14/K14</f>
        <v>3.7974683544303799E-2</v>
      </c>
      <c r="J15" s="255">
        <f>J14/K14</f>
        <v>3.7974683544303799E-2</v>
      </c>
      <c r="K15" s="255">
        <f>SUM(B15:J15)</f>
        <v>0.99999999999999989</v>
      </c>
    </row>
    <row r="16" spans="1:11" ht="17.100000000000001" customHeight="1" thickBot="1" x14ac:dyDescent="0.3">
      <c r="A16" s="350" t="s">
        <v>73</v>
      </c>
      <c r="B16" s="351"/>
      <c r="C16" s="256">
        <f t="shared" ref="C16:J16" si="2">C15*$B$11</f>
        <v>0.14365155563671328</v>
      </c>
      <c r="D16" s="256">
        <f t="shared" si="2"/>
        <v>1.8535684598285584E-2</v>
      </c>
      <c r="E16" s="256">
        <f t="shared" si="2"/>
        <v>8.341058069228513E-2</v>
      </c>
      <c r="F16" s="256">
        <f t="shared" si="2"/>
        <v>4.1705290346142565E-2</v>
      </c>
      <c r="G16" s="256">
        <f t="shared" si="2"/>
        <v>2.7803526897428377E-2</v>
      </c>
      <c r="H16" s="256">
        <f t="shared" si="2"/>
        <v>2.3169605747856981E-2</v>
      </c>
      <c r="I16" s="256">
        <f t="shared" si="2"/>
        <v>1.3901763448714188E-2</v>
      </c>
      <c r="J16" s="256">
        <f t="shared" si="2"/>
        <v>1.3901763448714188E-2</v>
      </c>
      <c r="K16" s="256">
        <f>SUM(C16:J16)</f>
        <v>0.36607977081614029</v>
      </c>
    </row>
    <row r="17" spans="1:253" ht="15" customHeight="1" thickBot="1" x14ac:dyDescent="0.3">
      <c r="A17" s="47"/>
      <c r="B17" s="48"/>
      <c r="C17" s="252"/>
      <c r="D17" s="252"/>
      <c r="E17" s="253"/>
      <c r="F17" s="252"/>
      <c r="G17" s="252"/>
      <c r="H17" s="252"/>
      <c r="I17" s="252"/>
      <c r="J17" s="252"/>
      <c r="K17" s="252"/>
    </row>
    <row r="18" spans="1:253" ht="21" customHeight="1" thickBot="1" x14ac:dyDescent="0.3">
      <c r="A18" s="336" t="s">
        <v>74</v>
      </c>
      <c r="B18" s="337"/>
      <c r="C18" s="33" t="s">
        <v>40</v>
      </c>
      <c r="D18" s="33" t="s">
        <v>42</v>
      </c>
      <c r="E18" s="33" t="s">
        <v>44</v>
      </c>
      <c r="F18" s="33" t="s">
        <v>45</v>
      </c>
      <c r="G18" s="33" t="s">
        <v>47</v>
      </c>
      <c r="H18" s="33" t="s">
        <v>49</v>
      </c>
      <c r="I18" s="33" t="s">
        <v>50</v>
      </c>
      <c r="J18" s="33" t="s">
        <v>52</v>
      </c>
      <c r="K18" s="34" t="s">
        <v>12</v>
      </c>
    </row>
    <row r="19" spans="1:253" ht="17.100000000000001" customHeight="1" thickTop="1" thickBot="1" x14ac:dyDescent="0.3">
      <c r="A19" s="338" t="str">
        <f>A11</f>
        <v>% Total Area occupied per Agency</v>
      </c>
      <c r="B19" s="339"/>
      <c r="C19" s="257">
        <f t="shared" ref="C19:J19" si="3">C11</f>
        <v>0.25710837153670252</v>
      </c>
      <c r="D19" s="257">
        <f t="shared" si="3"/>
        <v>9.5018232186808119E-2</v>
      </c>
      <c r="E19" s="257">
        <f t="shared" si="3"/>
        <v>0.13777934509548723</v>
      </c>
      <c r="F19" s="257">
        <f>F11</f>
        <v>7.181627481704192E-2</v>
      </c>
      <c r="G19" s="257">
        <f>G11</f>
        <v>3.2319868539207382E-2</v>
      </c>
      <c r="H19" s="257">
        <f t="shared" si="3"/>
        <v>1.2869778923373917E-2</v>
      </c>
      <c r="I19" s="257">
        <f t="shared" si="3"/>
        <v>1.3724128654162863E-2</v>
      </c>
      <c r="J19" s="257">
        <f t="shared" si="3"/>
        <v>1.3284229431075789E-2</v>
      </c>
      <c r="K19" s="258">
        <f>SUM(C19:J19)</f>
        <v>0.63392022918385971</v>
      </c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</row>
    <row r="20" spans="1:253" ht="17.100000000000001" customHeight="1" thickBot="1" x14ac:dyDescent="0.3">
      <c r="A20" s="340" t="s">
        <v>73</v>
      </c>
      <c r="B20" s="341"/>
      <c r="C20" s="259">
        <f>C16</f>
        <v>0.14365155563671328</v>
      </c>
      <c r="D20" s="259">
        <f t="shared" ref="D20:J20" si="4">D16</f>
        <v>1.8535684598285584E-2</v>
      </c>
      <c r="E20" s="259">
        <f t="shared" si="4"/>
        <v>8.341058069228513E-2</v>
      </c>
      <c r="F20" s="259">
        <f t="shared" si="4"/>
        <v>4.1705290346142565E-2</v>
      </c>
      <c r="G20" s="259">
        <f t="shared" si="4"/>
        <v>2.7803526897428377E-2</v>
      </c>
      <c r="H20" s="259">
        <f t="shared" si="4"/>
        <v>2.3169605747856981E-2</v>
      </c>
      <c r="I20" s="259">
        <f t="shared" si="4"/>
        <v>1.3901763448714188E-2</v>
      </c>
      <c r="J20" s="259">
        <f t="shared" si="4"/>
        <v>1.3901763448714188E-2</v>
      </c>
      <c r="K20" s="258">
        <f>SUM(C20:J20)</f>
        <v>0.36607977081614029</v>
      </c>
    </row>
    <row r="21" spans="1:253" ht="17.100000000000001" customHeight="1" thickBot="1" x14ac:dyDescent="0.3">
      <c r="A21" s="342" t="s">
        <v>152</v>
      </c>
      <c r="B21" s="343"/>
      <c r="C21" s="50">
        <f t="shared" ref="C21:K21" si="5">SUM(C19:C20)</f>
        <v>0.4007599271734158</v>
      </c>
      <c r="D21" s="50">
        <f t="shared" si="5"/>
        <v>0.1135539167850937</v>
      </c>
      <c r="E21" s="50">
        <f t="shared" si="5"/>
        <v>0.22118992578777236</v>
      </c>
      <c r="F21" s="50">
        <f t="shared" si="5"/>
        <v>0.11352156516318448</v>
      </c>
      <c r="G21" s="50">
        <f t="shared" si="5"/>
        <v>6.0123395436635758E-2</v>
      </c>
      <c r="H21" s="50">
        <f t="shared" si="5"/>
        <v>3.6039384671230898E-2</v>
      </c>
      <c r="I21" s="50">
        <f t="shared" si="5"/>
        <v>2.7625892102877053E-2</v>
      </c>
      <c r="J21" s="50">
        <f t="shared" si="5"/>
        <v>2.7185992879789976E-2</v>
      </c>
      <c r="K21" s="258">
        <f t="shared" si="5"/>
        <v>1</v>
      </c>
    </row>
    <row r="22" spans="1:253" ht="13.5" hidden="1" customHeight="1" x14ac:dyDescent="0.25">
      <c r="A22" s="344" t="s">
        <v>75</v>
      </c>
      <c r="B22" s="345"/>
      <c r="C22" s="51">
        <f t="shared" ref="C22:J22" si="6">ROUND(C21,2)</f>
        <v>0.4</v>
      </c>
      <c r="D22" s="51">
        <f t="shared" si="6"/>
        <v>0.11</v>
      </c>
      <c r="E22" s="51">
        <f t="shared" si="6"/>
        <v>0.22</v>
      </c>
      <c r="F22" s="51">
        <f t="shared" si="6"/>
        <v>0.11</v>
      </c>
      <c r="G22" s="51">
        <f t="shared" si="6"/>
        <v>0.06</v>
      </c>
      <c r="H22" s="51">
        <f t="shared" si="6"/>
        <v>0.04</v>
      </c>
      <c r="I22" s="51">
        <f t="shared" si="6"/>
        <v>0.03</v>
      </c>
      <c r="J22" s="51">
        <f t="shared" si="6"/>
        <v>0.03</v>
      </c>
      <c r="K22" s="52">
        <f>SUM(C22:J22)</f>
        <v>1</v>
      </c>
    </row>
    <row r="23" spans="1:253" ht="15" customHeight="1" thickBot="1" x14ac:dyDescent="0.3">
      <c r="A23" s="47"/>
      <c r="B23" s="49"/>
      <c r="C23" s="49"/>
      <c r="D23" s="49"/>
      <c r="E23" s="49"/>
      <c r="F23" s="49"/>
      <c r="G23" s="49"/>
      <c r="H23" s="49"/>
      <c r="I23" s="53"/>
      <c r="J23" s="49"/>
      <c r="K23" s="49"/>
      <c r="L23" s="47"/>
    </row>
    <row r="24" spans="1:253" s="55" customFormat="1" ht="27.75" customHeight="1" thickBot="1" x14ac:dyDescent="0.3">
      <c r="A24" s="346" t="s">
        <v>76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5"/>
      <c r="L24" s="54"/>
    </row>
    <row r="25" spans="1:253" ht="22.5" customHeight="1" thickBot="1" x14ac:dyDescent="0.3">
      <c r="A25" s="333" t="s">
        <v>205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5"/>
      <c r="L25" s="47"/>
    </row>
    <row r="26" spans="1:253" x14ac:dyDescent="0.25">
      <c r="A26" s="47"/>
      <c r="B26" s="49"/>
      <c r="C26" s="49"/>
      <c r="D26" s="49"/>
      <c r="E26" s="49"/>
      <c r="F26" s="49"/>
      <c r="G26" s="252"/>
      <c r="H26" s="49"/>
      <c r="I26" s="53"/>
      <c r="J26" s="49"/>
      <c r="K26" s="49"/>
      <c r="L26" s="47"/>
    </row>
    <row r="27" spans="1:253" hidden="1" x14ac:dyDescent="0.25">
      <c r="A27" s="47"/>
      <c r="B27" s="49"/>
      <c r="C27" s="49"/>
      <c r="D27" s="49"/>
      <c r="E27" s="49"/>
      <c r="F27" s="49" t="e">
        <f>F9+#REF!</f>
        <v>#REF!</v>
      </c>
      <c r="G27" s="252"/>
      <c r="H27" s="49"/>
      <c r="I27" s="53"/>
      <c r="J27" s="49"/>
      <c r="K27" s="49"/>
      <c r="L27" s="47"/>
    </row>
    <row r="28" spans="1:253" hidden="1" x14ac:dyDescent="0.25">
      <c r="A28" s="47"/>
      <c r="B28" s="49"/>
      <c r="C28" s="49"/>
      <c r="D28" s="49"/>
      <c r="E28" s="95"/>
      <c r="F28" s="49" t="e">
        <f>F27/F14</f>
        <v>#REF!</v>
      </c>
      <c r="G28" s="252"/>
      <c r="H28" s="49"/>
      <c r="I28" s="53"/>
      <c r="J28" s="49"/>
      <c r="K28" s="49"/>
      <c r="L28" s="47"/>
    </row>
    <row r="29" spans="1:253" hidden="1" x14ac:dyDescent="0.25">
      <c r="A29" s="98" t="s">
        <v>140</v>
      </c>
      <c r="B29" s="99"/>
      <c r="C29" s="99">
        <f t="shared" ref="C29:J29" si="7">C10-C3-C4</f>
        <v>599.86</v>
      </c>
      <c r="D29" s="99">
        <f t="shared" si="7"/>
        <v>129.88</v>
      </c>
      <c r="E29" s="100">
        <f t="shared" si="7"/>
        <v>295.85000000000002</v>
      </c>
      <c r="F29" s="100">
        <f t="shared" si="7"/>
        <v>149.43</v>
      </c>
      <c r="G29" s="100">
        <f t="shared" si="7"/>
        <v>88.9</v>
      </c>
      <c r="H29" s="100">
        <f t="shared" si="7"/>
        <v>35.4</v>
      </c>
      <c r="I29" s="100">
        <f t="shared" si="7"/>
        <v>15.329999999999998</v>
      </c>
      <c r="J29" s="100">
        <f t="shared" si="7"/>
        <v>36.54</v>
      </c>
      <c r="K29" s="49"/>
      <c r="L29" s="47"/>
    </row>
    <row r="30" spans="1:253" hidden="1" x14ac:dyDescent="0.25">
      <c r="A30" s="260" t="s">
        <v>138</v>
      </c>
      <c r="B30" s="49"/>
      <c r="C30" s="49">
        <f t="shared" ref="C30:J30" si="8">C10/C14</f>
        <v>22.813225806451616</v>
      </c>
      <c r="D30" s="49">
        <f t="shared" si="8"/>
        <v>65.34</v>
      </c>
      <c r="E30" s="49">
        <f t="shared" si="8"/>
        <v>21.054444444444446</v>
      </c>
      <c r="F30" s="49">
        <f t="shared" si="8"/>
        <v>21.948888888888892</v>
      </c>
      <c r="G30" s="49">
        <f t="shared" si="8"/>
        <v>14.816666666666668</v>
      </c>
      <c r="H30" s="49">
        <f t="shared" si="8"/>
        <v>7.08</v>
      </c>
      <c r="I30" s="53">
        <f t="shared" si="8"/>
        <v>12.583333333333334</v>
      </c>
      <c r="J30" s="49">
        <f t="shared" si="8"/>
        <v>12.18</v>
      </c>
      <c r="K30" s="49"/>
      <c r="L30" s="47"/>
    </row>
    <row r="31" spans="1:253" hidden="1" x14ac:dyDescent="0.25">
      <c r="A31" s="47" t="s">
        <v>139</v>
      </c>
      <c r="B31" s="49">
        <f>C5+C6</f>
        <v>599.86</v>
      </c>
      <c r="C31" s="49">
        <f>B31/C14</f>
        <v>19.350322580645162</v>
      </c>
      <c r="D31" s="49">
        <f>D5/D14</f>
        <v>32.47</v>
      </c>
      <c r="E31" s="49">
        <f>E7/E14</f>
        <v>13.696111111111112</v>
      </c>
      <c r="F31" s="49">
        <f>F9/F14</f>
        <v>16.603333333333335</v>
      </c>
      <c r="G31" s="49"/>
      <c r="H31" s="49"/>
      <c r="I31" s="53"/>
      <c r="J31" s="49"/>
      <c r="K31" s="49"/>
      <c r="L31" s="47"/>
    </row>
    <row r="32" spans="1:253" x14ac:dyDescent="0.25">
      <c r="A32" s="47"/>
      <c r="B32" s="49"/>
      <c r="C32" s="49"/>
      <c r="D32" s="49"/>
      <c r="E32" s="49"/>
      <c r="F32" s="49"/>
      <c r="G32" s="49"/>
      <c r="H32" s="49"/>
      <c r="I32" s="53"/>
      <c r="J32" s="49"/>
      <c r="K32" s="49"/>
      <c r="L32" s="47"/>
    </row>
    <row r="33" spans="1:12" ht="13.8" hidden="1" thickBot="1" x14ac:dyDescent="0.3">
      <c r="A33" s="47"/>
      <c r="B33" s="49"/>
      <c r="C33" s="49"/>
      <c r="D33" s="49"/>
      <c r="E33" s="49"/>
      <c r="F33" s="49"/>
      <c r="G33" s="49"/>
      <c r="H33" s="49"/>
      <c r="I33" s="53"/>
      <c r="J33" s="49"/>
      <c r="K33" s="49"/>
      <c r="L33" s="47"/>
    </row>
    <row r="34" spans="1:12" ht="13.8" hidden="1" thickBot="1" x14ac:dyDescent="0.3">
      <c r="A34" s="261" t="s">
        <v>47</v>
      </c>
      <c r="B34" s="262" t="s">
        <v>206</v>
      </c>
      <c r="C34" s="49"/>
      <c r="D34" s="49"/>
      <c r="E34" s="49"/>
      <c r="F34" s="49"/>
      <c r="G34" s="49"/>
      <c r="H34" s="49"/>
      <c r="I34" s="53"/>
      <c r="J34" s="49"/>
      <c r="K34" s="49"/>
      <c r="L34" s="47"/>
    </row>
    <row r="35" spans="1:12" hidden="1" x14ac:dyDescent="0.25">
      <c r="A35" s="263" t="s">
        <v>207</v>
      </c>
      <c r="B35" s="264">
        <v>9.1</v>
      </c>
      <c r="C35" s="49"/>
      <c r="D35" s="49"/>
      <c r="E35" s="195"/>
      <c r="F35" s="49"/>
      <c r="G35" s="49"/>
      <c r="H35" s="49"/>
      <c r="I35" s="53"/>
      <c r="J35" s="49"/>
      <c r="K35" s="49"/>
      <c r="L35" s="47"/>
    </row>
    <row r="36" spans="1:12" hidden="1" x14ac:dyDescent="0.25">
      <c r="A36" s="265" t="s">
        <v>208</v>
      </c>
      <c r="B36" s="264">
        <v>37.18</v>
      </c>
      <c r="C36" s="49"/>
      <c r="D36" s="49"/>
      <c r="E36" s="49"/>
      <c r="F36" s="49"/>
      <c r="G36" s="49"/>
      <c r="H36" s="49"/>
      <c r="I36" s="53"/>
      <c r="J36" s="49"/>
      <c r="K36" s="49"/>
      <c r="L36" s="47"/>
    </row>
    <row r="37" spans="1:12" hidden="1" x14ac:dyDescent="0.25">
      <c r="A37" s="300"/>
      <c r="B37" s="301"/>
      <c r="C37" s="49"/>
      <c r="D37" s="49"/>
      <c r="E37" s="49"/>
      <c r="F37" s="49"/>
      <c r="G37" s="49"/>
      <c r="H37" s="49"/>
      <c r="I37" s="53"/>
      <c r="J37" s="49"/>
      <c r="K37" s="49"/>
      <c r="L37" s="47"/>
    </row>
    <row r="38" spans="1:12" ht="13.8" hidden="1" thickBot="1" x14ac:dyDescent="0.3">
      <c r="A38" s="47"/>
      <c r="B38" s="49"/>
      <c r="C38" s="49"/>
      <c r="D38" s="49"/>
      <c r="E38" s="49"/>
      <c r="F38" s="49"/>
      <c r="G38" s="49"/>
      <c r="H38" s="49"/>
      <c r="I38" s="53"/>
      <c r="J38" s="49"/>
      <c r="K38" s="49"/>
      <c r="L38" s="47"/>
    </row>
    <row r="39" spans="1:12" ht="13.8" hidden="1" thickBot="1" x14ac:dyDescent="0.3">
      <c r="A39" s="266" t="s">
        <v>45</v>
      </c>
      <c r="B39" s="267" t="s">
        <v>206</v>
      </c>
      <c r="C39" s="49"/>
      <c r="D39" s="49"/>
      <c r="E39" s="49"/>
      <c r="F39" s="49"/>
      <c r="G39" s="49"/>
      <c r="H39" s="49"/>
      <c r="I39" s="53"/>
      <c r="J39" s="49"/>
      <c r="K39" s="49"/>
      <c r="L39" s="47"/>
    </row>
    <row r="40" spans="1:12" hidden="1" x14ac:dyDescent="0.25">
      <c r="A40" s="268" t="s">
        <v>207</v>
      </c>
      <c r="B40" s="269">
        <v>-9.1</v>
      </c>
      <c r="C40" s="49"/>
      <c r="D40" s="49"/>
      <c r="E40" s="49"/>
      <c r="F40" s="49"/>
      <c r="G40" s="49"/>
      <c r="H40" s="49"/>
      <c r="I40" s="53"/>
      <c r="J40" s="49"/>
      <c r="K40" s="49"/>
      <c r="L40" s="47"/>
    </row>
    <row r="41" spans="1:12" hidden="1" x14ac:dyDescent="0.25">
      <c r="A41" s="268" t="s">
        <v>210</v>
      </c>
      <c r="B41" s="269">
        <v>20</v>
      </c>
      <c r="C41" s="49"/>
      <c r="D41" s="49"/>
      <c r="E41" s="49"/>
      <c r="F41" s="49"/>
      <c r="G41" s="49"/>
      <c r="H41" s="49"/>
      <c r="I41" s="53"/>
      <c r="J41" s="49"/>
      <c r="K41" s="49"/>
      <c r="L41" s="47"/>
    </row>
    <row r="42" spans="1:12" hidden="1" x14ac:dyDescent="0.25">
      <c r="A42" s="270" t="s">
        <v>211</v>
      </c>
      <c r="B42" s="271">
        <v>6.04</v>
      </c>
    </row>
    <row r="43" spans="1:12" ht="13.8" hidden="1" thickBot="1" x14ac:dyDescent="0.3">
      <c r="A43" s="272" t="s">
        <v>212</v>
      </c>
      <c r="B43" s="273">
        <v>9.6370000000000005</v>
      </c>
    </row>
    <row r="44" spans="1:12" hidden="1" x14ac:dyDescent="0.25">
      <c r="A44" s="274" t="s">
        <v>209</v>
      </c>
      <c r="B44" s="275">
        <f>SUM(B41:B43)</f>
        <v>35.677</v>
      </c>
    </row>
    <row r="45" spans="1:12" hidden="1" x14ac:dyDescent="0.25"/>
  </sheetData>
  <mergeCells count="12">
    <mergeCell ref="B1:I1"/>
    <mergeCell ref="A13:B13"/>
    <mergeCell ref="A14:B14"/>
    <mergeCell ref="A15:B15"/>
    <mergeCell ref="A16:B16"/>
    <mergeCell ref="A25:K25"/>
    <mergeCell ref="A18:B18"/>
    <mergeCell ref="A19:B19"/>
    <mergeCell ref="A20:B20"/>
    <mergeCell ref="A21:B21"/>
    <mergeCell ref="A22:B22"/>
    <mergeCell ref="A24:K24"/>
  </mergeCells>
  <phoneticPr fontId="0" type="noConversion"/>
  <pageMargins left="0.39" right="0.42" top="0.75" bottom="1" header="0.5" footer="0.5"/>
  <pageSetup paperSize="9"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43"/>
  <sheetViews>
    <sheetView workbookViewId="0">
      <selection activeCell="O34" sqref="O34"/>
    </sheetView>
  </sheetViews>
  <sheetFormatPr defaultRowHeight="13.2" x14ac:dyDescent="0.25"/>
  <cols>
    <col min="1" max="1" width="36" customWidth="1"/>
    <col min="2" max="2" width="13.5546875" style="56" customWidth="1"/>
    <col min="3" max="3" width="14.44140625" style="56" customWidth="1"/>
    <col min="4" max="4" width="14.109375" style="56" customWidth="1"/>
    <col min="5" max="5" width="14.5546875" style="56" customWidth="1"/>
    <col min="6" max="6" width="14.33203125" style="56" customWidth="1"/>
    <col min="7" max="7" width="12.88671875" style="56" customWidth="1"/>
    <col min="8" max="8" width="14.44140625" style="56" bestFit="1" customWidth="1"/>
    <col min="9" max="9" width="13.6640625" style="57" customWidth="1"/>
    <col min="10" max="10" width="14.44140625" style="56" bestFit="1" customWidth="1"/>
    <col min="11" max="11" width="15.33203125" style="56" customWidth="1"/>
    <col min="12" max="12" width="10.6640625" customWidth="1"/>
  </cols>
  <sheetData>
    <row r="1" spans="1:11" ht="24" customHeight="1" thickBot="1" x14ac:dyDescent="0.3">
      <c r="B1" s="347" t="s">
        <v>218</v>
      </c>
      <c r="C1" s="347"/>
      <c r="D1" s="347"/>
      <c r="E1" s="347"/>
      <c r="F1" s="347"/>
      <c r="G1" s="347"/>
      <c r="H1" s="347"/>
      <c r="I1" s="347"/>
    </row>
    <row r="2" spans="1:11" ht="13.8" thickBot="1" x14ac:dyDescent="0.3">
      <c r="A2" s="32" t="s">
        <v>60</v>
      </c>
      <c r="B2" s="33" t="s">
        <v>61</v>
      </c>
      <c r="C2" s="33" t="s">
        <v>40</v>
      </c>
      <c r="D2" s="33" t="s">
        <v>42</v>
      </c>
      <c r="E2" s="33" t="s">
        <v>44</v>
      </c>
      <c r="F2" s="33" t="s">
        <v>45</v>
      </c>
      <c r="G2" s="33" t="s">
        <v>47</v>
      </c>
      <c r="H2" s="33" t="s">
        <v>49</v>
      </c>
      <c r="I2" s="33" t="s">
        <v>50</v>
      </c>
      <c r="J2" s="33" t="s">
        <v>52</v>
      </c>
      <c r="K2" s="34" t="s">
        <v>12</v>
      </c>
    </row>
    <row r="3" spans="1:11" ht="13.8" thickTop="1" x14ac:dyDescent="0.25">
      <c r="A3" s="35" t="s">
        <v>62</v>
      </c>
      <c r="B3" s="36">
        <v>63.76</v>
      </c>
      <c r="C3" s="37">
        <v>22.71</v>
      </c>
      <c r="D3" s="37">
        <v>29.87</v>
      </c>
      <c r="E3" s="37">
        <v>22.71</v>
      </c>
      <c r="F3" s="37">
        <v>22.71</v>
      </c>
      <c r="G3" s="37">
        <v>0</v>
      </c>
      <c r="H3" s="37">
        <v>0</v>
      </c>
      <c r="I3" s="37">
        <v>0</v>
      </c>
      <c r="J3" s="37">
        <v>0</v>
      </c>
      <c r="K3" s="38">
        <f t="shared" ref="K3:K11" si="0">SUM(B3:J3)</f>
        <v>161.76000000000002</v>
      </c>
    </row>
    <row r="4" spans="1:11" x14ac:dyDescent="0.25">
      <c r="A4" s="35" t="s">
        <v>63</v>
      </c>
      <c r="B4" s="36">
        <v>426.31</v>
      </c>
      <c r="C4" s="37">
        <v>84.64</v>
      </c>
      <c r="D4" s="37">
        <v>101.61</v>
      </c>
      <c r="E4" s="37">
        <v>60.42</v>
      </c>
      <c r="F4" s="37">
        <v>25.4</v>
      </c>
      <c r="G4" s="37">
        <v>0</v>
      </c>
      <c r="H4" s="37">
        <v>0</v>
      </c>
      <c r="I4" s="37">
        <v>22.42</v>
      </c>
      <c r="J4" s="37">
        <v>0</v>
      </c>
      <c r="K4" s="38">
        <f t="shared" si="0"/>
        <v>720.79999999999984</v>
      </c>
    </row>
    <row r="5" spans="1:11" x14ac:dyDescent="0.25">
      <c r="A5" s="35" t="s">
        <v>64</v>
      </c>
      <c r="B5" s="36">
        <f>284.27-74.67-E5</f>
        <v>179.67999999999995</v>
      </c>
      <c r="C5" s="37">
        <f>117.55+74.67</f>
        <v>192.22</v>
      </c>
      <c r="D5" s="37">
        <v>129.88</v>
      </c>
      <c r="E5" s="37">
        <v>29.92</v>
      </c>
      <c r="F5" s="37">
        <v>0</v>
      </c>
      <c r="G5" s="37">
        <v>0</v>
      </c>
      <c r="H5" s="37">
        <v>35.4</v>
      </c>
      <c r="I5" s="86">
        <v>15.33</v>
      </c>
      <c r="J5" s="37">
        <v>36.54</v>
      </c>
      <c r="K5" s="38">
        <f t="shared" si="0"/>
        <v>618.96999999999991</v>
      </c>
    </row>
    <row r="6" spans="1:11" x14ac:dyDescent="0.25">
      <c r="A6" s="39" t="s">
        <v>65</v>
      </c>
      <c r="B6" s="36">
        <v>221.52</v>
      </c>
      <c r="C6" s="87">
        <v>407.64</v>
      </c>
      <c r="D6" s="40">
        <v>0</v>
      </c>
      <c r="E6" s="87">
        <v>19.399999999999999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1">
        <f t="shared" si="0"/>
        <v>648.55999999999995</v>
      </c>
    </row>
    <row r="7" spans="1:11" x14ac:dyDescent="0.25">
      <c r="A7" s="39" t="s">
        <v>66</v>
      </c>
      <c r="B7" s="36">
        <v>4.9400000000000004</v>
      </c>
      <c r="C7" s="40">
        <v>0</v>
      </c>
      <c r="D7" s="40">
        <v>0</v>
      </c>
      <c r="E7" s="40">
        <v>246.53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1">
        <f t="shared" si="0"/>
        <v>251.47</v>
      </c>
    </row>
    <row r="8" spans="1:11" x14ac:dyDescent="0.25">
      <c r="A8" s="39" t="s">
        <v>82</v>
      </c>
      <c r="B8" s="36">
        <v>48.23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1">
        <f t="shared" si="0"/>
        <v>48.23</v>
      </c>
    </row>
    <row r="9" spans="1:11" x14ac:dyDescent="0.25">
      <c r="A9" s="39" t="s">
        <v>67</v>
      </c>
      <c r="B9" s="36">
        <f>46.93+7.25+8.33</f>
        <v>62.51</v>
      </c>
      <c r="C9" s="40">
        <v>0</v>
      </c>
      <c r="D9" s="40">
        <v>0</v>
      </c>
      <c r="E9" s="40">
        <v>0</v>
      </c>
      <c r="F9" s="40">
        <f>113.75+35.68</f>
        <v>149.43</v>
      </c>
      <c r="G9" s="40">
        <f>58.97-7.25+37.18</f>
        <v>88.9</v>
      </c>
      <c r="H9" s="40">
        <v>0</v>
      </c>
      <c r="I9" s="40">
        <v>0</v>
      </c>
      <c r="J9" s="40">
        <v>0</v>
      </c>
      <c r="K9" s="41">
        <f t="shared" si="0"/>
        <v>300.84000000000003</v>
      </c>
    </row>
    <row r="10" spans="1:11" s="45" customFormat="1" x14ac:dyDescent="0.25">
      <c r="A10" s="42" t="s">
        <v>68</v>
      </c>
      <c r="B10" s="43">
        <f t="shared" ref="B10:H10" si="1">SUM(B3:B9)</f>
        <v>1006.95</v>
      </c>
      <c r="C10" s="44">
        <f t="shared" si="1"/>
        <v>707.21</v>
      </c>
      <c r="D10" s="44">
        <f t="shared" si="1"/>
        <v>261.36</v>
      </c>
      <c r="E10" s="43">
        <f t="shared" si="1"/>
        <v>378.98</v>
      </c>
      <c r="F10" s="44">
        <f t="shared" si="1"/>
        <v>197.54000000000002</v>
      </c>
      <c r="G10" s="44">
        <f t="shared" si="1"/>
        <v>88.9</v>
      </c>
      <c r="H10" s="44">
        <f t="shared" si="1"/>
        <v>35.4</v>
      </c>
      <c r="I10" s="44">
        <v>0</v>
      </c>
      <c r="J10" s="44">
        <f>SUM(J3:J9)</f>
        <v>36.54</v>
      </c>
      <c r="K10" s="41">
        <f t="shared" si="0"/>
        <v>2712.88</v>
      </c>
    </row>
    <row r="11" spans="1:11" ht="13.8" thickBot="1" x14ac:dyDescent="0.3">
      <c r="A11" s="46" t="s">
        <v>69</v>
      </c>
      <c r="B11" s="251">
        <f>B10/K10</f>
        <v>0.37117380790893811</v>
      </c>
      <c r="C11" s="251">
        <f>C10/K10</f>
        <v>0.2606860605703164</v>
      </c>
      <c r="D11" s="251">
        <f>D10/K10</f>
        <v>9.6340420512518066E-2</v>
      </c>
      <c r="E11" s="251">
        <f>E10/K10</f>
        <v>0.13969655863878977</v>
      </c>
      <c r="F11" s="251">
        <f>F10/K10</f>
        <v>7.2815605555719393E-2</v>
      </c>
      <c r="G11" s="251">
        <f>G10/$K$10</f>
        <v>3.2769602783757484E-2</v>
      </c>
      <c r="H11" s="251">
        <f>H10/$K$10</f>
        <v>1.3048863200731325E-2</v>
      </c>
      <c r="I11" s="251">
        <f>I10/$K$10</f>
        <v>0</v>
      </c>
      <c r="J11" s="251">
        <f>J10/K10</f>
        <v>1.3469080829229452E-2</v>
      </c>
      <c r="K11" s="251">
        <f t="shared" si="0"/>
        <v>0.99999999999999989</v>
      </c>
    </row>
    <row r="12" spans="1:11" ht="13.8" thickBot="1" x14ac:dyDescent="0.3">
      <c r="A12" s="47"/>
      <c r="B12" s="48"/>
      <c r="C12" s="252"/>
      <c r="D12" s="252"/>
      <c r="E12" s="253"/>
      <c r="F12" s="252"/>
      <c r="G12" s="252"/>
      <c r="H12" s="252"/>
      <c r="I12" s="252"/>
      <c r="J12" s="252"/>
      <c r="K12" s="49"/>
    </row>
    <row r="13" spans="1:11" ht="13.8" thickBot="1" x14ac:dyDescent="0.3">
      <c r="A13" s="336" t="s">
        <v>70</v>
      </c>
      <c r="B13" s="337"/>
      <c r="C13" s="33" t="s">
        <v>40</v>
      </c>
      <c r="D13" s="33" t="s">
        <v>42</v>
      </c>
      <c r="E13" s="33" t="s">
        <v>44</v>
      </c>
      <c r="F13" s="33" t="s">
        <v>45</v>
      </c>
      <c r="G13" s="33" t="s">
        <v>47</v>
      </c>
      <c r="H13" s="33" t="s">
        <v>49</v>
      </c>
      <c r="I13" s="33" t="s">
        <v>50</v>
      </c>
      <c r="J13" s="33" t="s">
        <v>52</v>
      </c>
      <c r="K13" s="34" t="s">
        <v>12</v>
      </c>
    </row>
    <row r="14" spans="1:11" ht="13.8" thickTop="1" x14ac:dyDescent="0.25">
      <c r="A14" s="338" t="s">
        <v>71</v>
      </c>
      <c r="B14" s="339"/>
      <c r="C14" s="303">
        <v>31</v>
      </c>
      <c r="D14" s="303">
        <v>4</v>
      </c>
      <c r="E14" s="303">
        <v>18</v>
      </c>
      <c r="F14" s="304">
        <v>9</v>
      </c>
      <c r="G14" s="304">
        <v>6</v>
      </c>
      <c r="H14" s="303">
        <v>5</v>
      </c>
      <c r="I14" s="303">
        <v>0</v>
      </c>
      <c r="J14" s="303">
        <v>3</v>
      </c>
      <c r="K14" s="254">
        <f>SUM(B14:J14)</f>
        <v>76</v>
      </c>
    </row>
    <row r="15" spans="1:11" x14ac:dyDescent="0.25">
      <c r="A15" s="348" t="s">
        <v>72</v>
      </c>
      <c r="B15" s="349"/>
      <c r="C15" s="255">
        <f>C14/K14</f>
        <v>0.40789473684210525</v>
      </c>
      <c r="D15" s="255">
        <f>D14/K14</f>
        <v>5.2631578947368418E-2</v>
      </c>
      <c r="E15" s="255">
        <f>E14/K14</f>
        <v>0.23684210526315788</v>
      </c>
      <c r="F15" s="255">
        <f>F14/K14</f>
        <v>0.11842105263157894</v>
      </c>
      <c r="G15" s="255">
        <f>G14/K14</f>
        <v>7.8947368421052627E-2</v>
      </c>
      <c r="H15" s="255">
        <f>H14/K14</f>
        <v>6.5789473684210523E-2</v>
      </c>
      <c r="I15" s="255">
        <f>I14/K14</f>
        <v>0</v>
      </c>
      <c r="J15" s="255">
        <f>J14/K14</f>
        <v>3.9473684210526314E-2</v>
      </c>
      <c r="K15" s="255">
        <f>SUM(B15:J15)</f>
        <v>1</v>
      </c>
    </row>
    <row r="16" spans="1:11" ht="13.8" thickBot="1" x14ac:dyDescent="0.3">
      <c r="A16" s="350" t="s">
        <v>73</v>
      </c>
      <c r="B16" s="351"/>
      <c r="C16" s="256">
        <f t="shared" ref="C16:J16" si="2">C15*$B$11</f>
        <v>0.15139984269969844</v>
      </c>
      <c r="D16" s="256">
        <f t="shared" si="2"/>
        <v>1.9535463574154636E-2</v>
      </c>
      <c r="E16" s="256">
        <f t="shared" si="2"/>
        <v>8.7909586083695868E-2</v>
      </c>
      <c r="F16" s="256">
        <f t="shared" si="2"/>
        <v>4.3954793041847934E-2</v>
      </c>
      <c r="G16" s="256">
        <f t="shared" si="2"/>
        <v>2.9303195361231955E-2</v>
      </c>
      <c r="H16" s="256">
        <f t="shared" si="2"/>
        <v>2.4419329467693297E-2</v>
      </c>
      <c r="I16" s="256">
        <f t="shared" si="2"/>
        <v>0</v>
      </c>
      <c r="J16" s="256">
        <f t="shared" si="2"/>
        <v>1.4651597680615977E-2</v>
      </c>
      <c r="K16" s="256">
        <f>SUM(C16:J16)</f>
        <v>0.37117380790893806</v>
      </c>
    </row>
    <row r="17" spans="1:253" ht="13.8" thickBot="1" x14ac:dyDescent="0.3">
      <c r="A17" s="47"/>
      <c r="B17" s="48"/>
      <c r="C17" s="252"/>
      <c r="D17" s="252"/>
      <c r="E17" s="253"/>
      <c r="F17" s="252"/>
      <c r="G17" s="252"/>
      <c r="H17" s="252"/>
      <c r="I17" s="252"/>
      <c r="J17" s="252"/>
      <c r="K17" s="252"/>
    </row>
    <row r="18" spans="1:253" ht="13.8" thickBot="1" x14ac:dyDescent="0.3">
      <c r="A18" s="336" t="s">
        <v>74</v>
      </c>
      <c r="B18" s="337"/>
      <c r="C18" s="33" t="s">
        <v>40</v>
      </c>
      <c r="D18" s="33" t="s">
        <v>42</v>
      </c>
      <c r="E18" s="33" t="s">
        <v>44</v>
      </c>
      <c r="F18" s="33" t="s">
        <v>45</v>
      </c>
      <c r="G18" s="33" t="s">
        <v>47</v>
      </c>
      <c r="H18" s="33" t="s">
        <v>49</v>
      </c>
      <c r="I18" s="33" t="s">
        <v>50</v>
      </c>
      <c r="J18" s="33" t="s">
        <v>52</v>
      </c>
      <c r="K18" s="34" t="s">
        <v>12</v>
      </c>
    </row>
    <row r="19" spans="1:253" ht="14.4" thickTop="1" thickBot="1" x14ac:dyDescent="0.3">
      <c r="A19" s="338" t="str">
        <f>A11</f>
        <v>% Total Area occupied per Agency</v>
      </c>
      <c r="B19" s="339"/>
      <c r="C19" s="257">
        <f t="shared" ref="C19:J19" si="3">C11</f>
        <v>0.2606860605703164</v>
      </c>
      <c r="D19" s="257">
        <f t="shared" si="3"/>
        <v>9.6340420512518066E-2</v>
      </c>
      <c r="E19" s="257">
        <f t="shared" si="3"/>
        <v>0.13969655863878977</v>
      </c>
      <c r="F19" s="257">
        <f t="shared" si="3"/>
        <v>7.2815605555719393E-2</v>
      </c>
      <c r="G19" s="257">
        <f>G11</f>
        <v>3.2769602783757484E-2</v>
      </c>
      <c r="H19" s="257">
        <f t="shared" si="3"/>
        <v>1.3048863200731325E-2</v>
      </c>
      <c r="I19" s="257">
        <f t="shared" si="3"/>
        <v>0</v>
      </c>
      <c r="J19" s="257">
        <f t="shared" si="3"/>
        <v>1.3469080829229452E-2</v>
      </c>
      <c r="K19" s="258">
        <f>SUM(C19:J19)</f>
        <v>0.62882619209106194</v>
      </c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</row>
    <row r="20" spans="1:253" ht="13.8" thickBot="1" x14ac:dyDescent="0.3">
      <c r="A20" s="340" t="s">
        <v>73</v>
      </c>
      <c r="B20" s="341"/>
      <c r="C20" s="259">
        <f>C16</f>
        <v>0.15139984269969844</v>
      </c>
      <c r="D20" s="259">
        <f t="shared" ref="D20:J20" si="4">D16</f>
        <v>1.9535463574154636E-2</v>
      </c>
      <c r="E20" s="259">
        <f t="shared" si="4"/>
        <v>8.7909586083695868E-2</v>
      </c>
      <c r="F20" s="259">
        <f t="shared" si="4"/>
        <v>4.3954793041847934E-2</v>
      </c>
      <c r="G20" s="259">
        <f>G16</f>
        <v>2.9303195361231955E-2</v>
      </c>
      <c r="H20" s="259">
        <f t="shared" si="4"/>
        <v>2.4419329467693297E-2</v>
      </c>
      <c r="I20" s="259">
        <f t="shared" si="4"/>
        <v>0</v>
      </c>
      <c r="J20" s="259">
        <f t="shared" si="4"/>
        <v>1.4651597680615977E-2</v>
      </c>
      <c r="K20" s="258">
        <f>SUM(C20:J20)</f>
        <v>0.37117380790893806</v>
      </c>
    </row>
    <row r="21" spans="1:253" ht="16.2" thickBot="1" x14ac:dyDescent="0.3">
      <c r="A21" s="342" t="s">
        <v>152</v>
      </c>
      <c r="B21" s="343"/>
      <c r="C21" s="50">
        <f t="shared" ref="C21:K21" si="5">SUM(C19:C20)</f>
        <v>0.41208590327001482</v>
      </c>
      <c r="D21" s="50">
        <f t="shared" si="5"/>
        <v>0.11587588408667271</v>
      </c>
      <c r="E21" s="50">
        <f t="shared" si="5"/>
        <v>0.22760614472248564</v>
      </c>
      <c r="F21" s="50">
        <f t="shared" si="5"/>
        <v>0.11677039859756733</v>
      </c>
      <c r="G21" s="50">
        <f>SUM(G19:G20)</f>
        <v>6.2072798144989436E-2</v>
      </c>
      <c r="H21" s="50">
        <f t="shared" si="5"/>
        <v>3.7468192668424619E-2</v>
      </c>
      <c r="I21" s="50">
        <f t="shared" si="5"/>
        <v>0</v>
      </c>
      <c r="J21" s="50">
        <f t="shared" si="5"/>
        <v>2.8120678509845429E-2</v>
      </c>
      <c r="K21" s="258">
        <f t="shared" si="5"/>
        <v>1</v>
      </c>
    </row>
    <row r="22" spans="1:253" ht="13.8" hidden="1" thickBot="1" x14ac:dyDescent="0.3">
      <c r="A22" s="344" t="s">
        <v>75</v>
      </c>
      <c r="B22" s="345"/>
      <c r="C22" s="51">
        <f t="shared" ref="C22:J22" si="6">ROUND(C21,2)</f>
        <v>0.41</v>
      </c>
      <c r="D22" s="51">
        <f t="shared" si="6"/>
        <v>0.12</v>
      </c>
      <c r="E22" s="51">
        <f t="shared" si="6"/>
        <v>0.23</v>
      </c>
      <c r="F22" s="51">
        <f t="shared" si="6"/>
        <v>0.12</v>
      </c>
      <c r="G22" s="51">
        <f t="shared" si="6"/>
        <v>0.06</v>
      </c>
      <c r="H22" s="51">
        <f t="shared" si="6"/>
        <v>0.04</v>
      </c>
      <c r="I22" s="51">
        <f t="shared" si="6"/>
        <v>0</v>
      </c>
      <c r="J22" s="51">
        <f t="shared" si="6"/>
        <v>0.03</v>
      </c>
      <c r="K22" s="52">
        <f>SUM(C22:J22)</f>
        <v>1.01</v>
      </c>
    </row>
    <row r="23" spans="1:253" ht="13.8" thickBot="1" x14ac:dyDescent="0.3">
      <c r="A23" s="47"/>
      <c r="B23" s="49"/>
      <c r="C23" s="49"/>
      <c r="D23" s="49"/>
      <c r="E23" s="49"/>
      <c r="F23" s="49"/>
      <c r="G23" s="49"/>
      <c r="H23" s="49"/>
      <c r="I23" s="53"/>
      <c r="J23" s="49"/>
      <c r="K23" s="49"/>
      <c r="L23" s="47"/>
    </row>
    <row r="24" spans="1:253" s="55" customFormat="1" ht="13.8" thickBot="1" x14ac:dyDescent="0.3">
      <c r="A24" s="346" t="s">
        <v>76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5"/>
      <c r="L24" s="54"/>
    </row>
    <row r="25" spans="1:253" ht="13.8" thickBot="1" x14ac:dyDescent="0.3">
      <c r="A25" s="333" t="s">
        <v>213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5"/>
      <c r="L25" s="47"/>
    </row>
    <row r="26" spans="1:253" x14ac:dyDescent="0.25">
      <c r="A26" s="47"/>
      <c r="B26" s="49"/>
      <c r="C26" s="49"/>
      <c r="D26" s="49"/>
      <c r="E26" s="49"/>
      <c r="F26" s="49"/>
      <c r="G26" s="252"/>
      <c r="H26" s="49"/>
      <c r="I26" s="53"/>
      <c r="J26" s="49"/>
      <c r="K26" s="49"/>
      <c r="L26" s="47"/>
    </row>
    <row r="27" spans="1:253" hidden="1" x14ac:dyDescent="0.25">
      <c r="A27" s="47"/>
      <c r="B27" s="49"/>
      <c r="C27" s="49"/>
      <c r="D27" s="49"/>
      <c r="E27" s="49"/>
      <c r="F27" s="49" t="e">
        <f>F9+#REF!</f>
        <v>#REF!</v>
      </c>
      <c r="G27" s="252"/>
      <c r="H27" s="49"/>
      <c r="I27" s="53"/>
      <c r="J27" s="49"/>
      <c r="K27" s="49"/>
      <c r="L27" s="47"/>
    </row>
    <row r="28" spans="1:253" hidden="1" x14ac:dyDescent="0.25">
      <c r="A28" s="47"/>
      <c r="B28" s="49"/>
      <c r="C28" s="49"/>
      <c r="D28" s="49"/>
      <c r="E28" s="95"/>
      <c r="F28" s="49" t="e">
        <f>F27/F14</f>
        <v>#REF!</v>
      </c>
      <c r="G28" s="252"/>
      <c r="H28" s="49"/>
      <c r="I28" s="53"/>
      <c r="J28" s="49"/>
      <c r="K28" s="49"/>
      <c r="L28" s="47"/>
    </row>
    <row r="29" spans="1:253" hidden="1" x14ac:dyDescent="0.25">
      <c r="A29" s="98" t="s">
        <v>140</v>
      </c>
      <c r="B29" s="99"/>
      <c r="C29" s="99">
        <f t="shared" ref="C29:J29" si="7">C10-C3-C4</f>
        <v>599.86</v>
      </c>
      <c r="D29" s="99">
        <f t="shared" si="7"/>
        <v>129.88</v>
      </c>
      <c r="E29" s="100">
        <f t="shared" si="7"/>
        <v>295.85000000000002</v>
      </c>
      <c r="F29" s="100">
        <f t="shared" si="7"/>
        <v>149.43</v>
      </c>
      <c r="G29" s="100">
        <f t="shared" si="7"/>
        <v>88.9</v>
      </c>
      <c r="H29" s="100">
        <f t="shared" si="7"/>
        <v>35.4</v>
      </c>
      <c r="I29" s="100">
        <f t="shared" si="7"/>
        <v>-22.42</v>
      </c>
      <c r="J29" s="100">
        <f t="shared" si="7"/>
        <v>36.54</v>
      </c>
      <c r="K29" s="49"/>
      <c r="L29" s="47"/>
    </row>
    <row r="30" spans="1:253" hidden="1" x14ac:dyDescent="0.25">
      <c r="A30" s="260" t="s">
        <v>138</v>
      </c>
      <c r="B30" s="49"/>
      <c r="C30" s="49">
        <f t="shared" ref="C30:J30" si="8">C10/C14</f>
        <v>22.813225806451616</v>
      </c>
      <c r="D30" s="49">
        <f t="shared" si="8"/>
        <v>65.34</v>
      </c>
      <c r="E30" s="49">
        <f t="shared" si="8"/>
        <v>21.054444444444446</v>
      </c>
      <c r="F30" s="49">
        <f t="shared" si="8"/>
        <v>21.948888888888892</v>
      </c>
      <c r="G30" s="49">
        <f t="shared" si="8"/>
        <v>14.816666666666668</v>
      </c>
      <c r="H30" s="49">
        <f t="shared" si="8"/>
        <v>7.08</v>
      </c>
      <c r="I30" s="53" t="e">
        <f t="shared" si="8"/>
        <v>#DIV/0!</v>
      </c>
      <c r="J30" s="49">
        <f t="shared" si="8"/>
        <v>12.18</v>
      </c>
      <c r="K30" s="49"/>
      <c r="L30" s="47"/>
    </row>
    <row r="31" spans="1:253" hidden="1" x14ac:dyDescent="0.25">
      <c r="A31" s="47" t="s">
        <v>139</v>
      </c>
      <c r="B31" s="49">
        <f>C5+C6</f>
        <v>599.86</v>
      </c>
      <c r="C31" s="49">
        <f>B31/C14</f>
        <v>19.350322580645162</v>
      </c>
      <c r="D31" s="49">
        <f>D5/D14</f>
        <v>32.47</v>
      </c>
      <c r="E31" s="49">
        <f>E7/E14</f>
        <v>13.696111111111112</v>
      </c>
      <c r="F31" s="49">
        <f>F9/F14</f>
        <v>16.603333333333335</v>
      </c>
      <c r="G31" s="49"/>
      <c r="H31" s="49"/>
      <c r="I31" s="53"/>
      <c r="J31" s="49"/>
      <c r="K31" s="49"/>
      <c r="L31" s="47"/>
    </row>
    <row r="32" spans="1:253" x14ac:dyDescent="0.25">
      <c r="A32" s="47"/>
      <c r="B32" s="49"/>
      <c r="C32" s="49"/>
      <c r="D32" s="49"/>
      <c r="E32" s="49"/>
      <c r="F32" s="49"/>
      <c r="G32" s="49"/>
      <c r="H32" s="49"/>
      <c r="I32" s="53"/>
      <c r="J32" s="49"/>
      <c r="K32" s="49"/>
      <c r="L32" s="47"/>
    </row>
    <row r="33" spans="1:12" x14ac:dyDescent="0.25">
      <c r="A33" s="47"/>
      <c r="B33" s="49"/>
      <c r="C33" s="49"/>
      <c r="D33" s="49"/>
      <c r="E33" s="49"/>
      <c r="F33" s="49"/>
      <c r="G33" s="49"/>
      <c r="H33" s="49"/>
      <c r="I33" s="53"/>
      <c r="J33" s="49"/>
      <c r="K33" s="49"/>
      <c r="L33" s="47"/>
    </row>
    <row r="34" spans="1:12" x14ac:dyDescent="0.25">
      <c r="A34" s="47"/>
      <c r="B34" s="49"/>
      <c r="C34" s="49"/>
      <c r="D34" s="49"/>
      <c r="E34" s="49"/>
      <c r="F34" s="49"/>
      <c r="G34" s="49"/>
      <c r="H34" s="49"/>
      <c r="I34" s="53"/>
      <c r="J34" s="49"/>
      <c r="K34" s="49"/>
      <c r="L34" s="47"/>
    </row>
    <row r="35" spans="1:12" x14ac:dyDescent="0.25">
      <c r="A35" s="47"/>
      <c r="B35" s="49"/>
      <c r="C35" s="49"/>
      <c r="D35" s="49"/>
      <c r="E35" s="195"/>
      <c r="F35" s="49"/>
      <c r="G35" s="49"/>
      <c r="H35" s="49"/>
      <c r="I35" s="53"/>
      <c r="J35" s="49"/>
      <c r="K35" s="49"/>
      <c r="L35" s="47"/>
    </row>
    <row r="36" spans="1:12" x14ac:dyDescent="0.25">
      <c r="A36" s="47"/>
      <c r="B36" s="49"/>
      <c r="C36" s="49"/>
      <c r="D36" s="49"/>
      <c r="E36" s="49"/>
      <c r="F36" s="49"/>
      <c r="G36" s="49"/>
      <c r="H36" s="49"/>
      <c r="I36" s="53"/>
      <c r="J36" s="49"/>
      <c r="K36" s="49"/>
      <c r="L36" s="47"/>
    </row>
    <row r="37" spans="1:12" x14ac:dyDescent="0.25">
      <c r="A37" s="47"/>
      <c r="B37" s="49"/>
      <c r="C37" s="49"/>
      <c r="D37" s="49"/>
      <c r="E37" s="49"/>
      <c r="F37" s="49"/>
      <c r="G37" s="49"/>
      <c r="H37" s="49"/>
      <c r="I37" s="53"/>
      <c r="J37" s="49"/>
      <c r="K37" s="49"/>
      <c r="L37" s="47"/>
    </row>
    <row r="38" spans="1:12" x14ac:dyDescent="0.25">
      <c r="A38" s="47"/>
      <c r="B38" s="49"/>
      <c r="C38" s="49"/>
      <c r="D38" s="49"/>
      <c r="E38" s="49"/>
      <c r="F38" s="49"/>
      <c r="G38" s="49"/>
      <c r="H38" s="49"/>
      <c r="I38" s="53"/>
      <c r="J38" s="49"/>
      <c r="K38" s="49"/>
      <c r="L38" s="47"/>
    </row>
    <row r="39" spans="1:12" x14ac:dyDescent="0.25">
      <c r="A39" s="47"/>
      <c r="B39" s="49"/>
      <c r="C39" s="49"/>
      <c r="D39" s="49"/>
      <c r="E39" s="49"/>
      <c r="F39" s="49"/>
      <c r="G39" s="49"/>
      <c r="H39" s="49"/>
      <c r="I39" s="53"/>
      <c r="J39" s="49"/>
      <c r="K39" s="49"/>
      <c r="L39" s="47"/>
    </row>
    <row r="40" spans="1:12" x14ac:dyDescent="0.25">
      <c r="A40" s="47"/>
      <c r="B40" s="49"/>
      <c r="C40" s="49"/>
      <c r="D40" s="49"/>
      <c r="E40" s="49"/>
      <c r="F40" s="49"/>
      <c r="G40" s="49"/>
      <c r="H40" s="49"/>
      <c r="I40" s="53"/>
      <c r="J40" s="49"/>
      <c r="K40" s="49"/>
      <c r="L40" s="47"/>
    </row>
    <row r="41" spans="1:12" x14ac:dyDescent="0.25">
      <c r="A41" s="47"/>
      <c r="B41" s="49"/>
      <c r="C41" s="49"/>
      <c r="D41" s="49"/>
      <c r="E41" s="49"/>
      <c r="F41" s="49"/>
      <c r="G41" s="49"/>
      <c r="H41" s="49"/>
      <c r="I41" s="53"/>
      <c r="J41" s="49"/>
      <c r="K41" s="49"/>
      <c r="L41" s="47"/>
    </row>
    <row r="42" spans="1:12" x14ac:dyDescent="0.25">
      <c r="A42" s="47"/>
      <c r="B42" s="49"/>
      <c r="C42" s="49"/>
      <c r="D42" s="49"/>
      <c r="E42" s="49"/>
      <c r="F42" s="49"/>
      <c r="G42" s="49"/>
      <c r="H42" s="49"/>
      <c r="I42" s="53"/>
      <c r="J42" s="49"/>
      <c r="K42" s="49"/>
      <c r="L42" s="47"/>
    </row>
    <row r="43" spans="1:12" x14ac:dyDescent="0.25">
      <c r="A43" s="47"/>
      <c r="B43" s="49"/>
      <c r="C43" s="49"/>
      <c r="D43" s="49"/>
      <c r="E43" s="49"/>
      <c r="F43" s="49"/>
      <c r="G43" s="49"/>
      <c r="H43" s="49"/>
      <c r="I43" s="53"/>
      <c r="J43" s="49"/>
      <c r="K43" s="49"/>
      <c r="L43" s="47"/>
    </row>
  </sheetData>
  <mergeCells count="12">
    <mergeCell ref="B1:I1"/>
    <mergeCell ref="A20:B20"/>
    <mergeCell ref="A21:B21"/>
    <mergeCell ref="A22:B22"/>
    <mergeCell ref="A24:K24"/>
    <mergeCell ref="A25:K25"/>
    <mergeCell ref="A19:B19"/>
    <mergeCell ref="A13:B13"/>
    <mergeCell ref="A14:B14"/>
    <mergeCell ref="A15:B15"/>
    <mergeCell ref="A16:B16"/>
    <mergeCell ref="A18:B18"/>
  </mergeCells>
  <pageMargins left="0.7" right="0.7" top="0.75" bottom="0.75" header="0.3" footer="0.3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6"/>
  <sheetViews>
    <sheetView topLeftCell="A4" workbookViewId="0">
      <selection activeCell="I36" sqref="I36"/>
    </sheetView>
  </sheetViews>
  <sheetFormatPr defaultRowHeight="13.2" x14ac:dyDescent="0.25"/>
  <cols>
    <col min="1" max="1" width="19.6640625" bestFit="1" customWidth="1"/>
    <col min="2" max="2" width="25.88671875" bestFit="1" customWidth="1"/>
    <col min="3" max="3" width="7.6640625" customWidth="1"/>
    <col min="4" max="4" width="6.6640625" customWidth="1"/>
    <col min="5" max="5" width="10.6640625" customWidth="1"/>
    <col min="6" max="6" width="15.5546875" customWidth="1"/>
    <col min="7" max="7" width="9.33203125" customWidth="1"/>
    <col min="8" max="8" width="11.6640625" customWidth="1"/>
    <col min="9" max="9" width="11.109375" customWidth="1"/>
  </cols>
  <sheetData>
    <row r="3" spans="1:9" x14ac:dyDescent="0.25">
      <c r="C3" s="57"/>
      <c r="H3" s="57"/>
    </row>
    <row r="4" spans="1:9" x14ac:dyDescent="0.25">
      <c r="C4" s="57"/>
      <c r="D4" s="353" t="s">
        <v>86</v>
      </c>
      <c r="E4" s="353"/>
      <c r="F4" s="353"/>
      <c r="G4" s="353" t="s">
        <v>87</v>
      </c>
      <c r="H4" s="353"/>
      <c r="I4" s="353"/>
    </row>
    <row r="5" spans="1:9" ht="39.6" x14ac:dyDescent="0.25">
      <c r="A5" s="68" t="s">
        <v>88</v>
      </c>
      <c r="B5" s="69"/>
      <c r="C5" s="70" t="s">
        <v>89</v>
      </c>
      <c r="D5" s="61" t="s">
        <v>90</v>
      </c>
      <c r="E5" s="61" t="s">
        <v>91</v>
      </c>
      <c r="F5" s="61" t="s">
        <v>100</v>
      </c>
      <c r="G5" s="61" t="s">
        <v>92</v>
      </c>
      <c r="H5" s="71" t="s">
        <v>93</v>
      </c>
      <c r="I5" s="61" t="s">
        <v>94</v>
      </c>
    </row>
    <row r="6" spans="1:9" x14ac:dyDescent="0.25">
      <c r="A6" s="352" t="s">
        <v>0</v>
      </c>
      <c r="B6" s="2" t="s">
        <v>95</v>
      </c>
      <c r="C6" s="67">
        <v>1</v>
      </c>
      <c r="D6" s="67">
        <v>7</v>
      </c>
      <c r="E6" s="72">
        <v>410</v>
      </c>
      <c r="F6" s="73">
        <v>426.4</v>
      </c>
      <c r="G6" s="67">
        <v>8</v>
      </c>
      <c r="H6" s="72">
        <v>426</v>
      </c>
      <c r="I6" s="74">
        <f t="shared" ref="I6:I25" si="0">H6*1.2*1.04</f>
        <v>531.64800000000002</v>
      </c>
    </row>
    <row r="7" spans="1:9" x14ac:dyDescent="0.25">
      <c r="A7" s="352"/>
      <c r="B7" s="2" t="s">
        <v>4</v>
      </c>
      <c r="C7" s="67">
        <v>1</v>
      </c>
      <c r="D7" s="67">
        <v>8</v>
      </c>
      <c r="E7" s="72">
        <v>426</v>
      </c>
      <c r="F7" s="73">
        <v>443.04</v>
      </c>
      <c r="G7" s="67">
        <v>9</v>
      </c>
      <c r="H7" s="72">
        <v>444</v>
      </c>
      <c r="I7" s="74">
        <f t="shared" si="0"/>
        <v>554.11199999999997</v>
      </c>
    </row>
    <row r="8" spans="1:9" x14ac:dyDescent="0.25">
      <c r="A8" s="352"/>
      <c r="B8" s="2" t="s">
        <v>5</v>
      </c>
      <c r="C8" s="67">
        <v>1</v>
      </c>
      <c r="D8" s="67">
        <v>4</v>
      </c>
      <c r="E8" s="72">
        <v>365</v>
      </c>
      <c r="F8" s="73">
        <v>379.6</v>
      </c>
      <c r="G8" s="67">
        <v>5</v>
      </c>
      <c r="H8" s="72">
        <v>379</v>
      </c>
      <c r="I8" s="74">
        <f t="shared" si="0"/>
        <v>472.99200000000002</v>
      </c>
    </row>
    <row r="9" spans="1:9" x14ac:dyDescent="0.25">
      <c r="A9" s="352"/>
      <c r="B9" s="2" t="s">
        <v>6</v>
      </c>
      <c r="C9" s="67">
        <v>1</v>
      </c>
      <c r="D9" s="67">
        <v>7</v>
      </c>
      <c r="E9" s="72">
        <v>410</v>
      </c>
      <c r="F9" s="73">
        <v>426.4</v>
      </c>
      <c r="G9" s="67">
        <v>8</v>
      </c>
      <c r="H9" s="72">
        <v>426</v>
      </c>
      <c r="I9" s="74">
        <f t="shared" si="0"/>
        <v>531.64800000000002</v>
      </c>
    </row>
    <row r="10" spans="1:9" x14ac:dyDescent="0.25">
      <c r="A10" s="352"/>
      <c r="B10" s="2" t="s">
        <v>7</v>
      </c>
      <c r="C10" s="67">
        <v>1</v>
      </c>
      <c r="D10" s="67">
        <v>10</v>
      </c>
      <c r="E10" s="72">
        <v>461</v>
      </c>
      <c r="F10" s="73">
        <v>479.44</v>
      </c>
      <c r="G10" s="67">
        <v>10</v>
      </c>
      <c r="H10" s="72">
        <v>461</v>
      </c>
      <c r="I10" s="74">
        <f t="shared" si="0"/>
        <v>575.32799999999997</v>
      </c>
    </row>
    <row r="11" spans="1:9" x14ac:dyDescent="0.25">
      <c r="A11" s="352"/>
      <c r="B11" s="2" t="s">
        <v>8</v>
      </c>
      <c r="C11" s="67">
        <v>1</v>
      </c>
      <c r="D11" s="67">
        <v>7</v>
      </c>
      <c r="E11" s="72">
        <v>410</v>
      </c>
      <c r="F11" s="73">
        <v>426.4</v>
      </c>
      <c r="G11" s="67">
        <v>8</v>
      </c>
      <c r="H11" s="72">
        <v>426</v>
      </c>
      <c r="I11" s="74">
        <f t="shared" si="0"/>
        <v>531.64800000000002</v>
      </c>
    </row>
    <row r="12" spans="1:9" x14ac:dyDescent="0.25">
      <c r="A12" s="352"/>
      <c r="B12" s="2" t="s">
        <v>85</v>
      </c>
      <c r="C12" s="67">
        <v>1</v>
      </c>
      <c r="D12" s="67">
        <v>1</v>
      </c>
      <c r="E12" s="72">
        <v>337</v>
      </c>
      <c r="F12" s="73">
        <v>350.48</v>
      </c>
      <c r="G12" s="67">
        <v>2</v>
      </c>
      <c r="H12" s="78">
        <v>337</v>
      </c>
      <c r="I12" s="74">
        <f t="shared" si="0"/>
        <v>420.57599999999996</v>
      </c>
    </row>
    <row r="13" spans="1:9" x14ac:dyDescent="0.25">
      <c r="A13" s="352"/>
      <c r="B13" s="2" t="s">
        <v>9</v>
      </c>
      <c r="C13" s="67">
        <v>1</v>
      </c>
      <c r="D13" s="67">
        <v>3</v>
      </c>
      <c r="E13" s="72">
        <v>350</v>
      </c>
      <c r="F13" s="75">
        <v>364</v>
      </c>
      <c r="G13" s="67">
        <v>4</v>
      </c>
      <c r="H13" s="78">
        <v>365</v>
      </c>
      <c r="I13" s="74">
        <f t="shared" si="0"/>
        <v>455.52000000000004</v>
      </c>
    </row>
    <row r="14" spans="1:9" x14ac:dyDescent="0.25">
      <c r="A14" s="352"/>
      <c r="B14" s="2" t="s">
        <v>10</v>
      </c>
      <c r="C14" s="67">
        <v>1</v>
      </c>
      <c r="D14" s="67">
        <v>4</v>
      </c>
      <c r="E14" s="72">
        <v>365</v>
      </c>
      <c r="F14" s="73">
        <v>379.6</v>
      </c>
      <c r="G14" s="67">
        <v>5</v>
      </c>
      <c r="H14" s="78">
        <v>379</v>
      </c>
      <c r="I14" s="74">
        <f t="shared" si="0"/>
        <v>472.99200000000002</v>
      </c>
    </row>
    <row r="15" spans="1:9" x14ac:dyDescent="0.25">
      <c r="A15" s="352"/>
      <c r="B15" s="2" t="s">
        <v>11</v>
      </c>
      <c r="C15" s="67">
        <v>1</v>
      </c>
      <c r="D15" s="67">
        <v>2</v>
      </c>
      <c r="E15" s="72">
        <v>337</v>
      </c>
      <c r="F15" s="73">
        <v>350.48</v>
      </c>
      <c r="G15" s="67">
        <v>2</v>
      </c>
      <c r="H15" s="78">
        <v>337</v>
      </c>
      <c r="I15" s="74">
        <f t="shared" si="0"/>
        <v>420.57599999999996</v>
      </c>
    </row>
    <row r="16" spans="1:9" x14ac:dyDescent="0.25">
      <c r="A16" s="4" t="s">
        <v>12</v>
      </c>
      <c r="B16" s="4"/>
      <c r="C16" s="67"/>
      <c r="D16" s="67"/>
      <c r="E16" s="67"/>
      <c r="F16" s="67">
        <f>SUM(F6:F15)</f>
        <v>4025.84</v>
      </c>
      <c r="G16" s="67"/>
      <c r="H16" s="67"/>
      <c r="I16" s="76">
        <f>SUM(I6:I15)</f>
        <v>4967.04</v>
      </c>
    </row>
    <row r="17" spans="1:9" x14ac:dyDescent="0.25">
      <c r="A17" s="3" t="s">
        <v>13</v>
      </c>
      <c r="B17" s="3"/>
      <c r="C17" s="67"/>
      <c r="D17" s="67"/>
      <c r="E17" s="67"/>
      <c r="F17" s="67"/>
      <c r="G17" s="67"/>
      <c r="H17" s="67"/>
      <c r="I17" s="67"/>
    </row>
    <row r="18" spans="1:9" x14ac:dyDescent="0.25">
      <c r="A18" s="5" t="s">
        <v>14</v>
      </c>
      <c r="B18" s="1" t="s">
        <v>14</v>
      </c>
      <c r="C18" s="67">
        <v>5</v>
      </c>
      <c r="D18" s="67">
        <v>9</v>
      </c>
      <c r="E18" s="72">
        <v>524</v>
      </c>
      <c r="F18" s="73">
        <v>544.96</v>
      </c>
      <c r="G18" s="67">
        <v>10</v>
      </c>
      <c r="H18" s="72">
        <v>535</v>
      </c>
      <c r="I18" s="74">
        <f t="shared" si="0"/>
        <v>667.68000000000006</v>
      </c>
    </row>
    <row r="19" spans="1:9" x14ac:dyDescent="0.25">
      <c r="A19" s="5" t="s">
        <v>96</v>
      </c>
      <c r="B19" s="1" t="s">
        <v>15</v>
      </c>
      <c r="C19" s="67">
        <v>1</v>
      </c>
      <c r="D19" s="67">
        <v>9</v>
      </c>
      <c r="E19" s="72">
        <v>306</v>
      </c>
      <c r="F19" s="73">
        <v>318.24</v>
      </c>
      <c r="G19" s="67">
        <v>10</v>
      </c>
      <c r="H19" s="72">
        <v>318</v>
      </c>
      <c r="I19" s="74">
        <f t="shared" si="0"/>
        <v>396.86399999999998</v>
      </c>
    </row>
    <row r="20" spans="1:9" x14ac:dyDescent="0.25">
      <c r="A20" s="352" t="s">
        <v>97</v>
      </c>
      <c r="B20" s="1" t="s">
        <v>98</v>
      </c>
      <c r="C20" s="67">
        <v>1</v>
      </c>
      <c r="D20" s="67">
        <v>8</v>
      </c>
      <c r="E20" s="72">
        <v>268</v>
      </c>
      <c r="F20" s="73">
        <v>278.72000000000003</v>
      </c>
      <c r="G20" s="67">
        <v>9</v>
      </c>
      <c r="H20" s="72">
        <v>278</v>
      </c>
      <c r="I20" s="74">
        <f t="shared" si="0"/>
        <v>346.94399999999996</v>
      </c>
    </row>
    <row r="21" spans="1:9" x14ac:dyDescent="0.25">
      <c r="A21" s="352"/>
      <c r="B21" s="1" t="s">
        <v>16</v>
      </c>
      <c r="C21" s="67">
        <v>1</v>
      </c>
      <c r="D21" s="67">
        <v>9</v>
      </c>
      <c r="E21" s="72">
        <v>278</v>
      </c>
      <c r="F21" s="73">
        <v>289.12</v>
      </c>
      <c r="G21" s="67">
        <v>10</v>
      </c>
      <c r="H21" s="72">
        <v>289</v>
      </c>
      <c r="I21" s="74">
        <f t="shared" si="0"/>
        <v>360.67200000000003</v>
      </c>
    </row>
    <row r="22" spans="1:9" x14ac:dyDescent="0.25">
      <c r="A22" s="352"/>
      <c r="B22" s="1" t="s">
        <v>17</v>
      </c>
      <c r="C22" s="67">
        <v>1</v>
      </c>
      <c r="D22" s="67">
        <v>7</v>
      </c>
      <c r="E22" s="72">
        <v>257</v>
      </c>
      <c r="F22" s="73">
        <v>267.27999999999997</v>
      </c>
      <c r="G22" s="67">
        <v>8</v>
      </c>
      <c r="H22" s="72">
        <v>268</v>
      </c>
      <c r="I22" s="74">
        <f t="shared" si="0"/>
        <v>334.464</v>
      </c>
    </row>
    <row r="23" spans="1:9" x14ac:dyDescent="0.25">
      <c r="A23" s="352"/>
      <c r="B23" s="1" t="s">
        <v>18</v>
      </c>
      <c r="C23" s="67">
        <v>1</v>
      </c>
      <c r="D23" s="67">
        <v>9</v>
      </c>
      <c r="E23" s="72">
        <v>278</v>
      </c>
      <c r="F23" s="73">
        <v>289.12</v>
      </c>
      <c r="G23" s="67">
        <v>10</v>
      </c>
      <c r="H23" s="72">
        <v>289</v>
      </c>
      <c r="I23" s="74">
        <f t="shared" si="0"/>
        <v>360.67200000000003</v>
      </c>
    </row>
    <row r="24" spans="1:9" x14ac:dyDescent="0.25">
      <c r="A24" s="352"/>
      <c r="B24" s="1" t="s">
        <v>19</v>
      </c>
      <c r="C24" s="67">
        <v>1</v>
      </c>
      <c r="D24" s="67">
        <v>9</v>
      </c>
      <c r="E24" s="72">
        <v>278</v>
      </c>
      <c r="F24" s="73">
        <v>289.12</v>
      </c>
      <c r="G24" s="67">
        <v>10</v>
      </c>
      <c r="H24" s="72">
        <v>289</v>
      </c>
      <c r="I24" s="74">
        <f t="shared" si="0"/>
        <v>360.67200000000003</v>
      </c>
    </row>
    <row r="25" spans="1:9" x14ac:dyDescent="0.25">
      <c r="A25" s="352"/>
      <c r="B25" s="1" t="s">
        <v>99</v>
      </c>
      <c r="C25" s="67">
        <v>1</v>
      </c>
      <c r="D25" s="67">
        <v>2</v>
      </c>
      <c r="E25" s="72">
        <v>211</v>
      </c>
      <c r="F25" s="73">
        <v>219.44</v>
      </c>
      <c r="G25" s="67">
        <v>3</v>
      </c>
      <c r="H25" s="72">
        <v>220</v>
      </c>
      <c r="I25" s="74">
        <f t="shared" si="0"/>
        <v>274.56</v>
      </c>
    </row>
    <row r="26" spans="1:9" x14ac:dyDescent="0.25">
      <c r="C26" s="57"/>
      <c r="F26" s="57">
        <f>SUM(F18:F25)</f>
        <v>2496</v>
      </c>
      <c r="I26" s="77">
        <f>SUM(I18:I25)</f>
        <v>3102.5280000000002</v>
      </c>
    </row>
  </sheetData>
  <mergeCells count="4">
    <mergeCell ref="A6:A15"/>
    <mergeCell ref="A20:A25"/>
    <mergeCell ref="D4:F4"/>
    <mergeCell ref="G4:I4"/>
  </mergeCells>
  <pageMargins left="0.7" right="0.7" top="0.75" bottom="0.75" header="0.3" footer="0.3"/>
  <pageSetup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workbookViewId="0">
      <selection activeCell="K36" sqref="K36"/>
    </sheetView>
  </sheetViews>
  <sheetFormatPr defaultRowHeight="13.2" x14ac:dyDescent="0.25"/>
  <cols>
    <col min="1" max="1" width="29.33203125" customWidth="1"/>
    <col min="2" max="2" width="15.5546875" customWidth="1"/>
    <col min="3" max="3" width="12.33203125" customWidth="1"/>
    <col min="4" max="4" width="4.109375" customWidth="1"/>
  </cols>
  <sheetData>
    <row r="2" spans="1:3" ht="14.4" x14ac:dyDescent="0.3">
      <c r="A2" s="354" t="s">
        <v>155</v>
      </c>
      <c r="B2" s="355"/>
      <c r="C2" s="355"/>
    </row>
    <row r="3" spans="1:3" ht="29.25" customHeight="1" x14ac:dyDescent="0.3">
      <c r="A3" s="93"/>
      <c r="B3" s="202" t="s">
        <v>129</v>
      </c>
      <c r="C3" s="201" t="s">
        <v>130</v>
      </c>
    </row>
    <row r="4" spans="1:3" x14ac:dyDescent="0.25">
      <c r="A4" s="5" t="s">
        <v>131</v>
      </c>
      <c r="B4" s="92">
        <v>710</v>
      </c>
      <c r="C4" s="94" t="s">
        <v>132</v>
      </c>
    </row>
    <row r="5" spans="1:3" x14ac:dyDescent="0.25">
      <c r="A5" s="2" t="s">
        <v>146</v>
      </c>
      <c r="B5" s="92">
        <v>432.75</v>
      </c>
      <c r="C5" s="94" t="s">
        <v>132</v>
      </c>
    </row>
    <row r="6" spans="1:3" x14ac:dyDescent="0.25">
      <c r="A6" s="2" t="s">
        <v>147</v>
      </c>
      <c r="B6" s="92">
        <v>432.75</v>
      </c>
      <c r="C6" s="94" t="s">
        <v>132</v>
      </c>
    </row>
    <row r="7" spans="1:3" x14ac:dyDescent="0.25">
      <c r="A7" s="5" t="s">
        <v>7</v>
      </c>
      <c r="B7" s="92">
        <v>574</v>
      </c>
      <c r="C7" s="94" t="s">
        <v>132</v>
      </c>
    </row>
    <row r="8" spans="1:3" x14ac:dyDescent="0.25">
      <c r="A8" s="5" t="s">
        <v>8</v>
      </c>
      <c r="B8" s="92">
        <v>484</v>
      </c>
      <c r="C8" s="94" t="s">
        <v>132</v>
      </c>
    </row>
    <row r="9" spans="1:3" x14ac:dyDescent="0.25">
      <c r="A9" s="5" t="s">
        <v>133</v>
      </c>
      <c r="B9" s="92">
        <v>484</v>
      </c>
      <c r="C9" s="94" t="s">
        <v>132</v>
      </c>
    </row>
    <row r="10" spans="1:3" x14ac:dyDescent="0.25">
      <c r="A10" s="5" t="s">
        <v>95</v>
      </c>
      <c r="B10" s="92">
        <v>484</v>
      </c>
      <c r="C10" s="94" t="s">
        <v>132</v>
      </c>
    </row>
    <row r="11" spans="1:3" x14ac:dyDescent="0.25">
      <c r="A11" s="5" t="s">
        <v>6</v>
      </c>
      <c r="B11" s="92">
        <v>484</v>
      </c>
      <c r="C11" s="94" t="s">
        <v>132</v>
      </c>
    </row>
    <row r="12" spans="1:3" x14ac:dyDescent="0.25">
      <c r="A12" s="5" t="s">
        <v>10</v>
      </c>
      <c r="B12" s="92">
        <v>484</v>
      </c>
      <c r="C12" s="94" t="s">
        <v>132</v>
      </c>
    </row>
    <row r="13" spans="1:3" x14ac:dyDescent="0.25">
      <c r="A13" s="5" t="s">
        <v>5</v>
      </c>
      <c r="B13" s="92">
        <v>484</v>
      </c>
      <c r="C13" s="94" t="s">
        <v>132</v>
      </c>
    </row>
    <row r="14" spans="1:3" x14ac:dyDescent="0.25">
      <c r="A14" s="5" t="s">
        <v>9</v>
      </c>
      <c r="B14" s="92">
        <v>484</v>
      </c>
      <c r="C14" s="94" t="s">
        <v>132</v>
      </c>
    </row>
    <row r="15" spans="1:3" x14ac:dyDescent="0.25">
      <c r="A15" s="5" t="s">
        <v>136</v>
      </c>
      <c r="B15" s="92">
        <v>484</v>
      </c>
      <c r="C15" s="94" t="s">
        <v>132</v>
      </c>
    </row>
    <row r="16" spans="1:3" x14ac:dyDescent="0.25">
      <c r="A16" s="5" t="s">
        <v>149</v>
      </c>
      <c r="B16" s="92">
        <v>484</v>
      </c>
      <c r="C16" s="94" t="s">
        <v>132</v>
      </c>
    </row>
    <row r="17" spans="1:3" x14ac:dyDescent="0.25">
      <c r="A17" s="5" t="s">
        <v>154</v>
      </c>
      <c r="B17" s="92">
        <v>391</v>
      </c>
      <c r="C17" s="94" t="s">
        <v>132</v>
      </c>
    </row>
    <row r="18" spans="1:3" x14ac:dyDescent="0.25">
      <c r="A18" s="5" t="s">
        <v>137</v>
      </c>
      <c r="B18" s="92">
        <v>391</v>
      </c>
      <c r="C18" s="94" t="s">
        <v>132</v>
      </c>
    </row>
    <row r="19" spans="1:3" x14ac:dyDescent="0.25">
      <c r="A19" s="5" t="s">
        <v>127</v>
      </c>
      <c r="B19" s="92">
        <v>391</v>
      </c>
      <c r="C19" s="94" t="s">
        <v>132</v>
      </c>
    </row>
    <row r="20" spans="1:3" x14ac:dyDescent="0.25">
      <c r="A20" s="5" t="s">
        <v>134</v>
      </c>
      <c r="B20" s="92">
        <v>391</v>
      </c>
      <c r="C20" s="94" t="s">
        <v>132</v>
      </c>
    </row>
    <row r="21" spans="1:3" x14ac:dyDescent="0.25">
      <c r="A21" s="5" t="s">
        <v>135</v>
      </c>
      <c r="B21" s="92">
        <v>391</v>
      </c>
      <c r="C21" s="94" t="s">
        <v>132</v>
      </c>
    </row>
    <row r="22" spans="1:3" x14ac:dyDescent="0.25">
      <c r="B22" s="58">
        <f>SUM(B4:B21)</f>
        <v>8460.5</v>
      </c>
    </row>
  </sheetData>
  <mergeCells count="1">
    <mergeCell ref="A2:C2"/>
  </mergeCells>
  <pageMargins left="0.25" right="0.25" top="0" bottom="0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2015-12-21T06:00:00+00:00</UNDPPublishedDate>
    <UNDPCountry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Countries</TermName>
          <TermId xmlns="http://schemas.microsoft.com/office/infopath/2007/PartnerControls">2f9ec5a1-3eec-45d6-8645-ed5d87180aba</TermId>
        </TermInfo>
      </Terms>
    </UNDPCountryTaxHTField0>
    <UndpOUCode xmlns="1ed4137b-41b2-488b-8250-6d369ec27664" xsi:nil="true"/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Programmes ＆ Funds</TermName>
          <TermId xmlns="http://schemas.microsoft.com/office/infopath/2007/PartnerControls">3f053eee-e7b3-4f8d-ad06-eac3385eb6b6</TermId>
        </TermInfo>
      </Terms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Prodoc</TermName>
          <TermId xmlns="http://schemas.microsoft.com/office/infopath/2007/PartnerControls">099f975e-b4d9-4bba-a499-dbcc387c61ad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Project_x0020_Number xmlns="f1161f5b-24a3-4c2d-bc81-44cb9325e8ee" xsi:nil="true"/>
    <Project_x0020_Manager xmlns="f1161f5b-24a3-4c2d-bc81-44cb9325e8ee" xsi:nil="true"/>
    <TaxCatchAll xmlns="1ed4137b-41b2-488b-8250-6d369ec27664">
      <Value>763</Value>
      <Value>437</Value>
      <Value>1114</Value>
      <Value>1110</Value>
      <Value>1670</Value>
      <Value>1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00034431</UndpProjectNo>
    <UndpDocStatus xmlns="1ed4137b-41b2-488b-8250-6d369ec27664">Final</UndpDocStatus>
    <Outcome1 xmlns="f1161f5b-24a3-4c2d-bc81-44cb9325e8ee" xsi:nil="true"/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TKM</TermName>
          <TermId xmlns="http://schemas.microsoft.com/office/infopath/2007/PartnerControls">8a730513-0bff-4437-96ef-14bf81511455</TermId>
        </TermInfo>
      </Terms>
    </gc6531b704974d528487414686b72f6f>
    <_dlc_DocId xmlns="f1161f5b-24a3-4c2d-bc81-44cb9325e8ee">ATLASPDC-4-43461</_dlc_DocId>
    <_dlc_DocIdUrl xmlns="f1161f5b-24a3-4c2d-bc81-44cb9325e8ee">
      <Url>https://info.undp.org/docs/pdc/_layouts/DocIdRedir.aspx?ID=ATLASPDC-4-43461</Url>
      <Description>ATLASPDC-4-43461</Description>
    </_dlc_DocIdUrl>
    <Document_x0020_Coverage_x0020_Period_x0020_Start_x0020_Date xmlns="f1161f5b-24a3-4c2d-bc81-44cb9325e8ee" xsi:nil="true"/>
    <Document_x0020_Coverage_x0020_Period_x0020_End_x0020_Date xmlns="f1161f5b-24a3-4c2d-bc81-44cb9325e8ee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566F475B-4681-4A83-B26F-21375D960441}"/>
</file>

<file path=customXml/itemProps2.xml><?xml version="1.0" encoding="utf-8"?>
<ds:datastoreItem xmlns:ds="http://schemas.openxmlformats.org/officeDocument/2006/customXml" ds:itemID="{961947C4-87E8-4FF3-93B5-6164B26D8893}"/>
</file>

<file path=customXml/itemProps3.xml><?xml version="1.0" encoding="utf-8"?>
<ds:datastoreItem xmlns:ds="http://schemas.openxmlformats.org/officeDocument/2006/customXml" ds:itemID="{485DAA87-FF9D-4BEC-9A3F-A62BDE0991CC}"/>
</file>

<file path=customXml/itemProps4.xml><?xml version="1.0" encoding="utf-8"?>
<ds:datastoreItem xmlns:ds="http://schemas.openxmlformats.org/officeDocument/2006/customXml" ds:itemID="{E00A8DBF-84A2-4FC0-BADD-1C803D10BD79}"/>
</file>

<file path=customXml/itemProps5.xml><?xml version="1.0" encoding="utf-8"?>
<ds:datastoreItem xmlns:ds="http://schemas.openxmlformats.org/officeDocument/2006/customXml" ds:itemID="{CC3DAB81-72E9-4CA2-B8E3-988BEEBD51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Budget</vt:lpstr>
      <vt:lpstr>Costs for 2015</vt:lpstr>
      <vt:lpstr>security-related</vt:lpstr>
      <vt:lpstr>Distribution of costs for 2015</vt:lpstr>
      <vt:lpstr>Cost_sharing_formula Act1&amp;3</vt:lpstr>
      <vt:lpstr>cost-sharing formula Act4</vt:lpstr>
      <vt:lpstr>saslary information</vt:lpstr>
      <vt:lpstr>CS staff </vt:lpstr>
      <vt:lpstr>'Costs for 2015'!Print_Area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AWP WITH BUDGET</dc:title>
  <dc:subject/>
  <dc:creator>aman.allanurov</dc:creator>
  <cp:lastModifiedBy>Ogulshirin Yazlyyeva</cp:lastModifiedBy>
  <cp:lastPrinted>2015-01-26T05:47:44Z</cp:lastPrinted>
  <dcterms:created xsi:type="dcterms:W3CDTF">2007-10-08T08:57:52Z</dcterms:created>
  <dcterms:modified xsi:type="dcterms:W3CDTF">2015-12-21T04:55:59Z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>1114;#Countries|2f9ec5a1-3eec-45d6-8645-ed5d87180aba</vt:lpwstr>
  </property>
  <property fmtid="{D5CDD505-2E9C-101B-9397-08002B2CF9AE}" pid="4" name="Atlas_x0020_Document_x0020_Type">
    <vt:lpwstr>228;#Prodoc|5f41516e-5ee3-43b6-82ea-9b89532838d0</vt:lpwstr>
  </property>
  <property fmtid="{D5CDD505-2E9C-101B-9397-08002B2CF9AE}" pid="5" name="UndpDocTypeMM">
    <vt:lpwstr/>
  </property>
  <property fmtid="{D5CDD505-2E9C-101B-9397-08002B2CF9AE}" pid="6" name="UNDPDocumentCategory">
    <vt:lpwstr/>
  </property>
  <property fmtid="{D5CDD505-2E9C-101B-9397-08002B2CF9AE}" pid="7" name="UnitTaxHTField0">
    <vt:lpwstr/>
  </property>
  <property fmtid="{D5CDD505-2E9C-101B-9397-08002B2CF9AE}" pid="8" name="UN Languages">
    <vt:lpwstr>1;#English|7f98b732-4b5b-4b70-ba90-a0eff09b5d2d</vt:lpwstr>
  </property>
  <property fmtid="{D5CDD505-2E9C-101B-9397-08002B2CF9AE}" pid="9" name="Operating Unit0">
    <vt:lpwstr>1670;#TKM|8a730513-0bff-4437-96ef-14bf81511455</vt:lpwstr>
  </property>
  <property fmtid="{D5CDD505-2E9C-101B-9397-08002B2CF9AE}" pid="10" name="Atlas Document Status">
    <vt:lpwstr>763;#Draft|121d40a5-e62e-4d42-82e4-d6d12003de0a</vt:lpwstr>
  </property>
  <property fmtid="{D5CDD505-2E9C-101B-9397-08002B2CF9AE}" pid="12" name="UndpUnitMM">
    <vt:lpwstr/>
  </property>
  <property fmtid="{D5CDD505-2E9C-101B-9397-08002B2CF9AE}" pid="13" name="eRegFilingCodeMM">
    <vt:lpwstr/>
  </property>
  <property fmtid="{D5CDD505-2E9C-101B-9397-08002B2CF9AE}" pid="14" name="Unit">
    <vt:lpwstr/>
  </property>
  <property fmtid="{D5CDD505-2E9C-101B-9397-08002B2CF9AE}" pid="15" name="UNDPFocusAreas">
    <vt:lpwstr>437;#Programmes ＆ Funds|3f053eee-e7b3-4f8d-ad06-eac3385eb6b6</vt:lpwstr>
  </property>
  <property fmtid="{D5CDD505-2E9C-101B-9397-08002B2CF9AE}" pid="16" name="Atlas Document Type">
    <vt:lpwstr>1110;#Prodoc|099f975e-b4d9-4bba-a499-dbcc387c61ad</vt:lpwstr>
  </property>
  <property fmtid="{D5CDD505-2E9C-101B-9397-08002B2CF9AE}" pid="17" name="_dlc_DocIdItemGuid">
    <vt:lpwstr>73dba09c-58bb-4c70-9756-09bbefc0f8a3</vt:lpwstr>
  </property>
  <property fmtid="{D5CDD505-2E9C-101B-9397-08002B2CF9AE}" pid="18" name="URL">
    <vt:lpwstr/>
  </property>
  <property fmtid="{D5CDD505-2E9C-101B-9397-08002B2CF9AE}" pid="19" name="DocumentSetDescription">
    <vt:lpwstr/>
  </property>
</Properties>
</file>