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376" windowHeight="11772"/>
  </bookViews>
  <sheets>
    <sheet name="Budget" sheetId="8" r:id="rId1"/>
    <sheet name="Costs for 2015" sheetId="2" r:id="rId2"/>
    <sheet name="security-related" sheetId="12" state="hidden" r:id="rId3"/>
    <sheet name="Distribution of costs for 2015" sheetId="3" r:id="rId4"/>
    <sheet name="Cost_sharing_formula Act1&amp;3" sheetId="4" r:id="rId5"/>
    <sheet name="cost-sharing formula Act4" sheetId="13" r:id="rId6"/>
    <sheet name="saslary information" sheetId="7" state="hidden" r:id="rId7"/>
    <sheet name="CS staff " sheetId="11" r:id="rId8"/>
  </sheets>
  <definedNames>
    <definedName name="_xlnm.Print_Area" localSheetId="1">'Costs for 2015'!$A$1:$I$84</definedName>
  </definedNames>
  <calcPr calcId="152511"/>
</workbook>
</file>

<file path=xl/calcChain.xml><?xml version="1.0" encoding="utf-8"?>
<calcChain xmlns="http://schemas.openxmlformats.org/spreadsheetml/2006/main">
  <c r="K62" i="8" l="1"/>
  <c r="K61" i="8"/>
  <c r="K60" i="8"/>
  <c r="K63" i="8" l="1"/>
  <c r="F45" i="2"/>
  <c r="E18" i="2" l="1"/>
  <c r="F18" i="2" l="1"/>
  <c r="E4" i="2" l="1"/>
  <c r="B9" i="13" l="1"/>
  <c r="G9" i="13"/>
  <c r="F9" i="13"/>
  <c r="B9" i="4"/>
  <c r="G9" i="4"/>
  <c r="F9" i="4"/>
  <c r="D51" i="2" l="1"/>
  <c r="B22" i="11" l="1"/>
  <c r="F26" i="7"/>
  <c r="I25" i="7"/>
  <c r="I24" i="7"/>
  <c r="I23" i="7"/>
  <c r="I22" i="7"/>
  <c r="I21" i="7"/>
  <c r="I20" i="7"/>
  <c r="I19" i="7"/>
  <c r="I18" i="7"/>
  <c r="I26" i="7" s="1"/>
  <c r="F16" i="7"/>
  <c r="I15" i="7"/>
  <c r="I14" i="7"/>
  <c r="I13" i="7"/>
  <c r="I12" i="7"/>
  <c r="I11" i="7"/>
  <c r="I10" i="7"/>
  <c r="I9" i="7"/>
  <c r="I8" i="7"/>
  <c r="I7" i="7"/>
  <c r="I6" i="7"/>
  <c r="I16" i="7" s="1"/>
  <c r="F31" i="13"/>
  <c r="E31" i="13"/>
  <c r="D31" i="13"/>
  <c r="J30" i="13"/>
  <c r="I30" i="13"/>
  <c r="J29" i="13"/>
  <c r="I29" i="13"/>
  <c r="E29" i="13"/>
  <c r="F27" i="13"/>
  <c r="F28" i="13" s="1"/>
  <c r="A19" i="13"/>
  <c r="E15" i="13"/>
  <c r="D15" i="13"/>
  <c r="K14" i="13"/>
  <c r="G15" i="13" s="1"/>
  <c r="J10" i="13"/>
  <c r="H10" i="13"/>
  <c r="H29" i="13" s="1"/>
  <c r="G10" i="13"/>
  <c r="G30" i="13" s="1"/>
  <c r="F10" i="13"/>
  <c r="F30" i="13" s="1"/>
  <c r="E10" i="13"/>
  <c r="E30" i="13" s="1"/>
  <c r="D10" i="13"/>
  <c r="D30" i="13" s="1"/>
  <c r="K9" i="13"/>
  <c r="K8" i="13"/>
  <c r="K7" i="13"/>
  <c r="K6" i="13"/>
  <c r="C5" i="13"/>
  <c r="C10" i="13" s="1"/>
  <c r="B5" i="13"/>
  <c r="B10" i="13" s="1"/>
  <c r="K4" i="13"/>
  <c r="K3" i="13"/>
  <c r="B44" i="4"/>
  <c r="F31" i="4"/>
  <c r="E31" i="4"/>
  <c r="D31" i="4"/>
  <c r="J29" i="4"/>
  <c r="F27" i="4"/>
  <c r="F28" i="4" s="1"/>
  <c r="A19" i="4"/>
  <c r="K14" i="4"/>
  <c r="G15" i="4" s="1"/>
  <c r="J10" i="4"/>
  <c r="J30" i="4" s="1"/>
  <c r="I10" i="4"/>
  <c r="I29" i="4" s="1"/>
  <c r="H10" i="4"/>
  <c r="H29" i="4" s="1"/>
  <c r="G10" i="4"/>
  <c r="G30" i="4" s="1"/>
  <c r="F10" i="4"/>
  <c r="F30" i="4" s="1"/>
  <c r="E10" i="4"/>
  <c r="E30" i="4" s="1"/>
  <c r="D10" i="4"/>
  <c r="D30" i="4" s="1"/>
  <c r="K9" i="4"/>
  <c r="K8" i="4"/>
  <c r="K7" i="4"/>
  <c r="K6" i="4"/>
  <c r="C5" i="4"/>
  <c r="B31" i="4" s="1"/>
  <c r="C31" i="4" s="1"/>
  <c r="B5" i="4"/>
  <c r="B10" i="4" s="1"/>
  <c r="K4" i="4"/>
  <c r="K3" i="4"/>
  <c r="D67" i="12"/>
  <c r="D64" i="12"/>
  <c r="F56" i="12"/>
  <c r="L49" i="12"/>
  <c r="D34" i="12"/>
  <c r="E33" i="12"/>
  <c r="D32" i="12"/>
  <c r="E31" i="12"/>
  <c r="E55" i="12" s="1"/>
  <c r="D26" i="12"/>
  <c r="E26" i="12" s="1"/>
  <c r="F26" i="12" s="1"/>
  <c r="F25" i="12"/>
  <c r="E25" i="12"/>
  <c r="D25" i="12"/>
  <c r="E24" i="12"/>
  <c r="F24" i="12" s="1"/>
  <c r="D24" i="12"/>
  <c r="E23" i="12"/>
  <c r="J23" i="12" s="1"/>
  <c r="D23" i="12"/>
  <c r="D22" i="12"/>
  <c r="D28" i="12" s="1"/>
  <c r="D21" i="12"/>
  <c r="E21" i="12" s="1"/>
  <c r="F21" i="12" s="1"/>
  <c r="F20" i="12"/>
  <c r="E20" i="12"/>
  <c r="E19" i="12"/>
  <c r="J19" i="12" s="1"/>
  <c r="F18" i="12"/>
  <c r="E18" i="12"/>
  <c r="H13" i="12"/>
  <c r="I13" i="12" s="1"/>
  <c r="F13" i="12"/>
  <c r="E13" i="12"/>
  <c r="D13" i="12"/>
  <c r="H12" i="12"/>
  <c r="I12" i="12" s="1"/>
  <c r="D12" i="12"/>
  <c r="E12" i="12" s="1"/>
  <c r="F12" i="12" s="1"/>
  <c r="I11" i="12"/>
  <c r="H11" i="12"/>
  <c r="D11" i="12"/>
  <c r="E11" i="12" s="1"/>
  <c r="F11" i="12" s="1"/>
  <c r="I10" i="12"/>
  <c r="H10" i="12"/>
  <c r="E10" i="12"/>
  <c r="F10" i="12" s="1"/>
  <c r="D10" i="12"/>
  <c r="H9" i="12"/>
  <c r="I9" i="12" s="1"/>
  <c r="F9" i="12"/>
  <c r="E9" i="12"/>
  <c r="D9" i="12"/>
  <c r="H8" i="12"/>
  <c r="I8" i="12" s="1"/>
  <c r="D8" i="12"/>
  <c r="E8" i="12" s="1"/>
  <c r="F8" i="12" s="1"/>
  <c r="I7" i="12"/>
  <c r="H7" i="12"/>
  <c r="D7" i="12"/>
  <c r="E7" i="12" s="1"/>
  <c r="F7" i="12" s="1"/>
  <c r="I6" i="12"/>
  <c r="H6" i="12"/>
  <c r="E6" i="12"/>
  <c r="F6" i="12" s="1"/>
  <c r="D6" i="12"/>
  <c r="D5" i="12"/>
  <c r="E5" i="12" s="1"/>
  <c r="F5" i="12" s="1"/>
  <c r="I4" i="12"/>
  <c r="H4" i="12"/>
  <c r="E4" i="12"/>
  <c r="F4" i="12" s="1"/>
  <c r="D4" i="12"/>
  <c r="D15" i="12" s="1"/>
  <c r="D61" i="2"/>
  <c r="J38" i="8" s="1"/>
  <c r="E32" i="2"/>
  <c r="D31" i="2"/>
  <c r="E30" i="2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J19" i="2" s="1"/>
  <c r="D58" i="2"/>
  <c r="J5" i="8" s="1"/>
  <c r="D27" i="2"/>
  <c r="D15" i="2"/>
  <c r="H13" i="2"/>
  <c r="I13" i="2" s="1"/>
  <c r="E13" i="2"/>
  <c r="F13" i="2" s="1"/>
  <c r="H12" i="2"/>
  <c r="I12" i="2" s="1"/>
  <c r="E12" i="2"/>
  <c r="F12" i="2" s="1"/>
  <c r="H11" i="2"/>
  <c r="I11" i="2" s="1"/>
  <c r="E11" i="2"/>
  <c r="F11" i="2" s="1"/>
  <c r="H10" i="2"/>
  <c r="I10" i="2" s="1"/>
  <c r="E10" i="2"/>
  <c r="F10" i="2" s="1"/>
  <c r="H9" i="2"/>
  <c r="I9" i="2" s="1"/>
  <c r="E9" i="2"/>
  <c r="F9" i="2" s="1"/>
  <c r="H8" i="2"/>
  <c r="I8" i="2" s="1"/>
  <c r="E8" i="2"/>
  <c r="F8" i="2" s="1"/>
  <c r="H7" i="2"/>
  <c r="I7" i="2" s="1"/>
  <c r="E7" i="2"/>
  <c r="F7" i="2" s="1"/>
  <c r="H6" i="2"/>
  <c r="I6" i="2" s="1"/>
  <c r="E6" i="2"/>
  <c r="F6" i="2" s="1"/>
  <c r="E5" i="2"/>
  <c r="F5" i="2" s="1"/>
  <c r="H4" i="2"/>
  <c r="I4" i="2" s="1"/>
  <c r="F4" i="2"/>
  <c r="C54" i="8"/>
  <c r="C53" i="8"/>
  <c r="C52" i="8"/>
  <c r="C51" i="8"/>
  <c r="C50" i="8"/>
  <c r="C49" i="8"/>
  <c r="C48" i="8"/>
  <c r="C47" i="8"/>
  <c r="E44" i="2" l="1"/>
  <c r="E15" i="2"/>
  <c r="F19" i="2"/>
  <c r="F27" i="2" s="1"/>
  <c r="C30" i="13"/>
  <c r="C29" i="13"/>
  <c r="F15" i="12"/>
  <c r="K5" i="13"/>
  <c r="H15" i="13"/>
  <c r="B31" i="13"/>
  <c r="C31" i="13" s="1"/>
  <c r="E15" i="12"/>
  <c r="F19" i="12"/>
  <c r="F28" i="12" s="1"/>
  <c r="E22" i="12"/>
  <c r="F22" i="12" s="1"/>
  <c r="F23" i="12"/>
  <c r="K5" i="4"/>
  <c r="D29" i="4"/>
  <c r="I15" i="13"/>
  <c r="D29" i="13"/>
  <c r="H30" i="13"/>
  <c r="H30" i="4"/>
  <c r="E27" i="2"/>
  <c r="F15" i="13"/>
  <c r="J15" i="13"/>
  <c r="C15" i="13"/>
  <c r="K15" i="13" s="1"/>
  <c r="H15" i="4"/>
  <c r="D15" i="4"/>
  <c r="I15" i="4"/>
  <c r="E15" i="4"/>
  <c r="G29" i="13"/>
  <c r="K10" i="13"/>
  <c r="F11" i="13" s="1"/>
  <c r="F19" i="13" s="1"/>
  <c r="F29" i="13"/>
  <c r="C10" i="4"/>
  <c r="F15" i="4"/>
  <c r="J15" i="4"/>
  <c r="E29" i="4"/>
  <c r="I30" i="4"/>
  <c r="C15" i="4"/>
  <c r="F29" i="4"/>
  <c r="G29" i="4"/>
  <c r="K10" i="4"/>
  <c r="H11" i="4" s="1"/>
  <c r="H19" i="4" s="1"/>
  <c r="F15" i="2"/>
  <c r="J23" i="2"/>
  <c r="F47" i="2" l="1"/>
  <c r="F46" i="2" s="1"/>
  <c r="J28" i="12"/>
  <c r="D63" i="12"/>
  <c r="E28" i="12"/>
  <c r="D66" i="12"/>
  <c r="F58" i="12"/>
  <c r="F29" i="12"/>
  <c r="I11" i="13"/>
  <c r="I19" i="13" s="1"/>
  <c r="E11" i="13"/>
  <c r="E19" i="13" s="1"/>
  <c r="H11" i="13"/>
  <c r="H19" i="13" s="1"/>
  <c r="D11" i="13"/>
  <c r="D19" i="13" s="1"/>
  <c r="G11" i="13"/>
  <c r="G19" i="13" s="1"/>
  <c r="C11" i="13"/>
  <c r="C19" i="13" s="1"/>
  <c r="J11" i="13"/>
  <c r="J19" i="13" s="1"/>
  <c r="B11" i="13"/>
  <c r="K15" i="4"/>
  <c r="C29" i="4"/>
  <c r="C30" i="4"/>
  <c r="C11" i="4"/>
  <c r="C19" i="4" s="1"/>
  <c r="J11" i="4"/>
  <c r="J19" i="4" s="1"/>
  <c r="G11" i="4"/>
  <c r="G19" i="4" s="1"/>
  <c r="E11" i="4"/>
  <c r="E19" i="4" s="1"/>
  <c r="I11" i="4"/>
  <c r="I19" i="4" s="1"/>
  <c r="D11" i="4"/>
  <c r="D19" i="4" s="1"/>
  <c r="F11" i="4"/>
  <c r="F19" i="4" s="1"/>
  <c r="B11" i="4"/>
  <c r="E16" i="4" s="1"/>
  <c r="E20" i="4" s="1"/>
  <c r="E21" i="4" s="1"/>
  <c r="D57" i="2"/>
  <c r="J27" i="2"/>
  <c r="D50" i="2"/>
  <c r="F28" i="2"/>
  <c r="D60" i="2"/>
  <c r="J37" i="8" s="1"/>
  <c r="J15" i="8" l="1"/>
  <c r="F57" i="12"/>
  <c r="D65" i="12" s="1"/>
  <c r="D68" i="12" s="1"/>
  <c r="J16" i="13"/>
  <c r="J20" i="13" s="1"/>
  <c r="J21" i="13" s="1"/>
  <c r="F16" i="13"/>
  <c r="F20" i="13" s="1"/>
  <c r="F21" i="13" s="1"/>
  <c r="I16" i="13"/>
  <c r="I20" i="13" s="1"/>
  <c r="I21" i="13" s="1"/>
  <c r="E16" i="13"/>
  <c r="E20" i="13" s="1"/>
  <c r="E21" i="13" s="1"/>
  <c r="H16" i="13"/>
  <c r="H20" i="13" s="1"/>
  <c r="H21" i="13" s="1"/>
  <c r="D16" i="13"/>
  <c r="D20" i="13" s="1"/>
  <c r="D21" i="13" s="1"/>
  <c r="K11" i="13"/>
  <c r="G16" i="13"/>
  <c r="G20" i="13" s="1"/>
  <c r="G21" i="13" s="1"/>
  <c r="C16" i="13"/>
  <c r="K19" i="13"/>
  <c r="J16" i="4"/>
  <c r="J20" i="4" s="1"/>
  <c r="J21" i="4" s="1"/>
  <c r="I22" i="8" s="1"/>
  <c r="I16" i="4"/>
  <c r="I20" i="4" s="1"/>
  <c r="I21" i="4" s="1"/>
  <c r="C10" i="3" s="1"/>
  <c r="H16" i="4"/>
  <c r="H20" i="4" s="1"/>
  <c r="H21" i="4" s="1"/>
  <c r="H22" i="4" s="1"/>
  <c r="G16" i="4"/>
  <c r="G20" i="4" s="1"/>
  <c r="G21" i="4" s="1"/>
  <c r="I30" i="8" s="1"/>
  <c r="C16" i="4"/>
  <c r="C20" i="4" s="1"/>
  <c r="D16" i="4"/>
  <c r="D20" i="4" s="1"/>
  <c r="D21" i="4" s="1"/>
  <c r="I16" i="8" s="1"/>
  <c r="K11" i="4"/>
  <c r="K19" i="4"/>
  <c r="F16" i="4"/>
  <c r="F20" i="4" s="1"/>
  <c r="F21" i="4" s="1"/>
  <c r="I29" i="8" s="1"/>
  <c r="C5" i="3"/>
  <c r="E22" i="4"/>
  <c r="C6" i="3"/>
  <c r="I28" i="8"/>
  <c r="I17" i="8"/>
  <c r="I7" i="8"/>
  <c r="C7" i="8" s="1"/>
  <c r="D49" i="2"/>
  <c r="D59" i="2"/>
  <c r="F52" i="2"/>
  <c r="D52" i="2" s="1"/>
  <c r="C17" i="8" l="1"/>
  <c r="C16" i="8"/>
  <c r="C22" i="8"/>
  <c r="F59" i="12"/>
  <c r="D59" i="12" s="1"/>
  <c r="E5" i="3"/>
  <c r="F5" i="3" s="1"/>
  <c r="D22" i="13"/>
  <c r="I38" i="8"/>
  <c r="C38" i="8" s="1"/>
  <c r="H22" i="13"/>
  <c r="I42" i="8"/>
  <c r="C42" i="8" s="1"/>
  <c r="E9" i="3"/>
  <c r="F9" i="3" s="1"/>
  <c r="I41" i="8"/>
  <c r="C41" i="8" s="1"/>
  <c r="E8" i="3"/>
  <c r="F8" i="3" s="1"/>
  <c r="G22" i="13"/>
  <c r="E22" i="13"/>
  <c r="E6" i="3"/>
  <c r="F6" i="3" s="1"/>
  <c r="I39" i="8"/>
  <c r="C39" i="8" s="1"/>
  <c r="I22" i="13"/>
  <c r="E10" i="3"/>
  <c r="F10" i="3" s="1"/>
  <c r="I43" i="8"/>
  <c r="C43" i="8" s="1"/>
  <c r="C20" i="13"/>
  <c r="K16" i="13"/>
  <c r="F22" i="13"/>
  <c r="I40" i="8"/>
  <c r="C40" i="8" s="1"/>
  <c r="E7" i="3"/>
  <c r="F7" i="3" s="1"/>
  <c r="E11" i="3"/>
  <c r="F11" i="3" s="1"/>
  <c r="J22" i="13"/>
  <c r="I44" i="8"/>
  <c r="C44" i="8" s="1"/>
  <c r="I11" i="8"/>
  <c r="C11" i="8" s="1"/>
  <c r="I21" i="8"/>
  <c r="C21" i="8" s="1"/>
  <c r="I22" i="4"/>
  <c r="I10" i="8"/>
  <c r="C10" i="8" s="1"/>
  <c r="I32" i="8"/>
  <c r="I20" i="8"/>
  <c r="C20" i="8" s="1"/>
  <c r="I33" i="8"/>
  <c r="I31" i="8"/>
  <c r="C9" i="3"/>
  <c r="D9" i="3" s="1"/>
  <c r="C7" i="3"/>
  <c r="I6" i="8"/>
  <c r="C6" i="8" s="1"/>
  <c r="I8" i="8"/>
  <c r="C8" i="8" s="1"/>
  <c r="I27" i="8"/>
  <c r="C8" i="3"/>
  <c r="D8" i="3" s="1"/>
  <c r="F22" i="4"/>
  <c r="D22" i="4"/>
  <c r="I9" i="8"/>
  <c r="C9" i="8" s="1"/>
  <c r="G22" i="4"/>
  <c r="J22" i="4"/>
  <c r="I19" i="8"/>
  <c r="C19" i="8" s="1"/>
  <c r="K16" i="4"/>
  <c r="I18" i="8"/>
  <c r="C18" i="8" s="1"/>
  <c r="I12" i="8"/>
  <c r="C12" i="8" s="1"/>
  <c r="C11" i="3"/>
  <c r="D11" i="3" s="1"/>
  <c r="K20" i="4"/>
  <c r="K21" i="4" s="1"/>
  <c r="C21" i="4"/>
  <c r="J26" i="8"/>
  <c r="D62" i="2"/>
  <c r="D6" i="3"/>
  <c r="D7" i="3"/>
  <c r="D10" i="3"/>
  <c r="D5" i="3"/>
  <c r="G8" i="3" l="1"/>
  <c r="G5" i="3"/>
  <c r="G10" i="3"/>
  <c r="G7" i="3"/>
  <c r="G6" i="3"/>
  <c r="G11" i="3"/>
  <c r="K20" i="13"/>
  <c r="K21" i="13" s="1"/>
  <c r="C21" i="13"/>
  <c r="G9" i="3"/>
  <c r="C22" i="4"/>
  <c r="K22" i="4" s="1"/>
  <c r="I26" i="8"/>
  <c r="I34" i="8" s="1"/>
  <c r="I15" i="8"/>
  <c r="I5" i="8"/>
  <c r="C4" i="3"/>
  <c r="C28" i="8"/>
  <c r="B63" i="8" s="1"/>
  <c r="C32" i="8"/>
  <c r="B67" i="8" s="1"/>
  <c r="C30" i="8"/>
  <c r="B65" i="8" s="1"/>
  <c r="C27" i="8"/>
  <c r="B62" i="8" s="1"/>
  <c r="C33" i="8"/>
  <c r="B68" i="8" s="1"/>
  <c r="J58" i="8"/>
  <c r="C31" i="8"/>
  <c r="B66" i="8" s="1"/>
  <c r="C29" i="8"/>
  <c r="B64" i="8" s="1"/>
  <c r="H6" i="3" l="1"/>
  <c r="H10" i="3"/>
  <c r="H11" i="3"/>
  <c r="H7" i="3"/>
  <c r="H5" i="3"/>
  <c r="H9" i="3"/>
  <c r="H8" i="3"/>
  <c r="E4" i="3"/>
  <c r="C22" i="13"/>
  <c r="K22" i="13" s="1"/>
  <c r="I37" i="8"/>
  <c r="C26" i="8"/>
  <c r="C12" i="3"/>
  <c r="D4" i="3"/>
  <c r="I13" i="8"/>
  <c r="C5" i="8"/>
  <c r="I23" i="8"/>
  <c r="C15" i="8"/>
  <c r="I45" i="8" l="1"/>
  <c r="C37" i="8"/>
  <c r="C58" i="8" s="1"/>
  <c r="E12" i="3"/>
  <c r="F4" i="3"/>
  <c r="F12" i="3" s="1"/>
  <c r="D12" i="3"/>
  <c r="B61" i="8" l="1"/>
  <c r="G4" i="3"/>
  <c r="G12" i="3" s="1"/>
  <c r="H4" i="3" l="1"/>
  <c r="H12" i="3" s="1"/>
  <c r="B69" i="8"/>
</calcChain>
</file>

<file path=xl/comments1.xml><?xml version="1.0" encoding="utf-8"?>
<comments xmlns="http://schemas.openxmlformats.org/spreadsheetml/2006/main">
  <authors>
    <author>Meyrjamal Metbagirova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Meyrjamal Metbagirova:</t>
        </r>
        <r>
          <rPr>
            <sz val="9"/>
            <color indexed="81"/>
            <rFont val="Tahoma"/>
            <family val="2"/>
            <charset val="204"/>
          </rPr>
          <t xml:space="preserve">
Salary -$574
Security Reserves - 6.5%
Reserve account - 0.5% 
Life insurance - $8.88
Medical insurance -$51.5
Support services fee of Copenhagen - $6.60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Meyrjamal Metbagirova:</t>
        </r>
        <r>
          <rPr>
            <sz val="9"/>
            <color indexed="81"/>
            <rFont val="Tahoma"/>
            <family val="2"/>
            <charset val="204"/>
          </rPr>
          <t xml:space="preserve">
Net salary - $1,807.75
Dependence Allowance - $105
Organization MIP contribution - $ 135.41
Organization Pension contribution - $ 352.62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Meyrjamal Metbagirova:</t>
        </r>
        <r>
          <rPr>
            <sz val="9"/>
            <color indexed="81"/>
            <rFont val="Tahoma"/>
            <family val="2"/>
            <charset val="204"/>
          </rPr>
          <t xml:space="preserve">
Salary -$432.75
Security Reserves - 6.5%
Reserve account - 0.5% 
Life insurance - $8.88
Medical insurance -$51.5
Support services fee of Copenhagen - $6.60</t>
        </r>
      </text>
    </comment>
  </commentList>
</comments>
</file>

<file path=xl/comments2.xml><?xml version="1.0" encoding="utf-8"?>
<comments xmlns="http://schemas.openxmlformats.org/spreadsheetml/2006/main">
  <authors>
    <author>Meyrjamal Metbagirova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Meyrjamal Metbagirova:</t>
        </r>
        <r>
          <rPr>
            <sz val="9"/>
            <color indexed="81"/>
            <rFont val="Tahoma"/>
            <family val="2"/>
            <charset val="204"/>
          </rPr>
          <t xml:space="preserve">
+month salary for UNHCR Guard
</t>
        </r>
      </text>
    </comment>
  </commentList>
</comments>
</file>

<file path=xl/sharedStrings.xml><?xml version="1.0" encoding="utf-8"?>
<sst xmlns="http://schemas.openxmlformats.org/spreadsheetml/2006/main" count="583" uniqueCount="240">
  <si>
    <t>Security Guards</t>
  </si>
  <si>
    <t>#</t>
  </si>
  <si>
    <t>Salary/month</t>
  </si>
  <si>
    <t>Salary/year</t>
  </si>
  <si>
    <t>Arslan Kurbanniyazov</t>
  </si>
  <si>
    <t>Batyr Saparov</t>
  </si>
  <si>
    <t>Igor Feld</t>
  </si>
  <si>
    <t>Ishanguly Deryakuliyev</t>
  </si>
  <si>
    <t>Igor Nurmetov</t>
  </si>
  <si>
    <t>Ramiz Iskanderov</t>
  </si>
  <si>
    <t>Vyacheslav Shapovalov</t>
  </si>
  <si>
    <t>Dadashev Ali</t>
  </si>
  <si>
    <t>TOTAL</t>
  </si>
  <si>
    <t>Support staff</t>
  </si>
  <si>
    <t>Maintenance Engineer</t>
  </si>
  <si>
    <t>Gardener</t>
  </si>
  <si>
    <t>Cleaner (Gozel Hallyeva)</t>
  </si>
  <si>
    <t>Cleaner (Sheker Kuliyeva)</t>
  </si>
  <si>
    <t>Cleaner (Rozygul Charyeva)</t>
  </si>
  <si>
    <r>
      <t>Cleaner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(Tatyana Korobova)</t>
    </r>
  </si>
  <si>
    <t>Utilities and Heating</t>
  </si>
  <si>
    <t>Supplies and Material</t>
  </si>
  <si>
    <t>Total</t>
  </si>
  <si>
    <t>GRAND TOTAL</t>
  </si>
  <si>
    <t>Activity 1</t>
  </si>
  <si>
    <t>Activity 3</t>
  </si>
  <si>
    <t>Activity 4</t>
  </si>
  <si>
    <t>Activity ID</t>
  </si>
  <si>
    <t>Description</t>
  </si>
  <si>
    <t>Amount</t>
  </si>
  <si>
    <t>Account</t>
  </si>
  <si>
    <t>Fund</t>
  </si>
  <si>
    <t>Implementing Agent</t>
  </si>
  <si>
    <t>Donor</t>
  </si>
  <si>
    <t>DONOR NAME</t>
  </si>
  <si>
    <t>%</t>
  </si>
  <si>
    <t>ACTIVITY1</t>
  </si>
  <si>
    <t>Common Staff Services</t>
  </si>
  <si>
    <t>001981</t>
  </si>
  <si>
    <t>00012</t>
  </si>
  <si>
    <t>UNDP</t>
  </si>
  <si>
    <t>00040</t>
  </si>
  <si>
    <t>UNHCR</t>
  </si>
  <si>
    <t>00035</t>
  </si>
  <si>
    <t>UNICEF</t>
  </si>
  <si>
    <t>UNFPA</t>
  </si>
  <si>
    <t>00043</t>
  </si>
  <si>
    <t>IOM</t>
  </si>
  <si>
    <t>00028</t>
  </si>
  <si>
    <t>UNODC</t>
  </si>
  <si>
    <t>UNDSS</t>
  </si>
  <si>
    <t>00006</t>
  </si>
  <si>
    <t>WHO</t>
  </si>
  <si>
    <t>ACTIVITY3</t>
  </si>
  <si>
    <t>Utilities and Supplies</t>
  </si>
  <si>
    <t>ACTIVITY4</t>
  </si>
  <si>
    <t>Security</t>
  </si>
  <si>
    <t>Total budget</t>
  </si>
  <si>
    <t>Agency</t>
  </si>
  <si>
    <t>Cost/Agency/ year</t>
  </si>
  <si>
    <t>A) AREA</t>
  </si>
  <si>
    <t>COMMON</t>
  </si>
  <si>
    <r>
      <t>UN Yard Area m</t>
    </r>
    <r>
      <rPr>
        <sz val="10"/>
        <rFont val="Arial"/>
        <family val="2"/>
        <charset val="186"/>
      </rPr>
      <t>2</t>
    </r>
  </si>
  <si>
    <r>
      <t>Basement Area m</t>
    </r>
    <r>
      <rPr>
        <sz val="10"/>
        <rFont val="Arial"/>
        <family val="2"/>
        <charset val="186"/>
      </rPr>
      <t>2</t>
    </r>
  </si>
  <si>
    <r>
      <t>1st Floor Area m</t>
    </r>
    <r>
      <rPr>
        <sz val="10"/>
        <rFont val="Arial"/>
        <family val="2"/>
        <charset val="186"/>
      </rPr>
      <t>2</t>
    </r>
  </si>
  <si>
    <t>2nd Floor Area m2</t>
  </si>
  <si>
    <t>3rd Floor Area m2</t>
  </si>
  <si>
    <t>4th Floor Area m2</t>
  </si>
  <si>
    <t>Total Area m2 occupied per Agency</t>
  </si>
  <si>
    <t>% Total Area occupied per Agency</t>
  </si>
  <si>
    <t>B) STAFF</t>
  </si>
  <si>
    <t>Number of Staff per Agency</t>
  </si>
  <si>
    <t>% Staff per Agency</t>
  </si>
  <si>
    <t>% Staff proportional to Common Area</t>
  </si>
  <si>
    <t>C) TOTAL APPORTIONMENT</t>
  </si>
  <si>
    <t>Total Agency Apportionment (rounded)</t>
  </si>
  <si>
    <t xml:space="preserve">*) Total Agency Apportionment has been calculated using the percentage of Area occupied per Agency plus the percentage of staff per Agency proportional to the total Common Area. </t>
  </si>
  <si>
    <t>Total:</t>
  </si>
  <si>
    <t>Total costs</t>
  </si>
  <si>
    <t>Comments</t>
  </si>
  <si>
    <t>QTY</t>
  </si>
  <si>
    <t>Costs/month</t>
  </si>
  <si>
    <t>3rd Floor Area - corridor - m2</t>
  </si>
  <si>
    <t>Toilet paper, towels,cleaning means, lamps, stationary for CP staff</t>
  </si>
  <si>
    <t>UNDP support cost</t>
  </si>
  <si>
    <t>Azat Annaorazov</t>
  </si>
  <si>
    <t>Current contract (2009)</t>
  </si>
  <si>
    <t>Planning contract</t>
  </si>
  <si>
    <t>staff</t>
  </si>
  <si>
    <t>G</t>
  </si>
  <si>
    <t xml:space="preserve">Level </t>
  </si>
  <si>
    <t>salary by Salary scale</t>
  </si>
  <si>
    <t>increased one level</t>
  </si>
  <si>
    <t>Salary by Salary Scale</t>
  </si>
  <si>
    <t>salary  increased 20% +4%</t>
  </si>
  <si>
    <t>Andrey Arutyunyan</t>
  </si>
  <si>
    <t xml:space="preserve">Gardener </t>
  </si>
  <si>
    <t>Cleaners</t>
  </si>
  <si>
    <t>Cleaner (Annagozel Ashirova)</t>
  </si>
  <si>
    <r>
      <t>Cleaner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(Farida Muradova)</t>
    </r>
  </si>
  <si>
    <t>current salary</t>
  </si>
  <si>
    <t>G/L</t>
  </si>
  <si>
    <t>SB-1/Q3</t>
  </si>
  <si>
    <t>SB-1/MID (60)</t>
  </si>
  <si>
    <t>Feld Igor</t>
  </si>
  <si>
    <t>Shapavalov Vyacheslav</t>
  </si>
  <si>
    <t>Salyhov Bayram</t>
  </si>
  <si>
    <t>SB-1/Q1</t>
  </si>
  <si>
    <t>SB-1/Min</t>
  </si>
  <si>
    <t>(2) Contingency- to meet urgent requirements. Any left over balance will be transferred into the next year's budget.</t>
  </si>
  <si>
    <t>SB-2/MID (60)</t>
  </si>
  <si>
    <t>Short-term replacements</t>
  </si>
  <si>
    <t xml:space="preserve">Contingency </t>
  </si>
  <si>
    <t xml:space="preserve">UNHCR Guard </t>
  </si>
  <si>
    <t>(1) Short-term replacements - to cover absences of maintenance  staff (guards, cleaners, receptionist and gardener)</t>
  </si>
  <si>
    <t>annual salary of guards + short term replacement, except for UNHCR Guard</t>
  </si>
  <si>
    <t>UNHCR guard+Replacement during annual leave</t>
  </si>
  <si>
    <t xml:space="preserve">Deryakulyev Ishanguly </t>
  </si>
  <si>
    <t>Nurmetov Igor</t>
  </si>
  <si>
    <t>Kurbanniyazov Arslan</t>
  </si>
  <si>
    <t>Artunyan Andrey</t>
  </si>
  <si>
    <t>Saparov Batyr</t>
  </si>
  <si>
    <t>Iskenderov Ramis</t>
  </si>
  <si>
    <t>Mametorazov Azat</t>
  </si>
  <si>
    <t>Durdukhanov Juma</t>
  </si>
  <si>
    <t>Charyeva Rozagul</t>
  </si>
  <si>
    <t>Kuliyeva Sheker</t>
  </si>
  <si>
    <t>Farida Muradova</t>
  </si>
  <si>
    <t>Electricity, waste collection, water supply and heat supply</t>
  </si>
  <si>
    <t>current salary/ month</t>
  </si>
  <si>
    <t>salary per scale</t>
  </si>
  <si>
    <t>Jumamurad Durdyhanov</t>
  </si>
  <si>
    <t>ok</t>
  </si>
  <si>
    <t>Arslan Kurbaniyazov</t>
  </si>
  <si>
    <t>Rozygul Charyyeva</t>
  </si>
  <si>
    <t>Muhammetbayram Salyhov</t>
  </si>
  <si>
    <t>Azat Mametorazov</t>
  </si>
  <si>
    <t>Sheker Kuliyeva</t>
  </si>
  <si>
    <t>density</t>
  </si>
  <si>
    <t>without basement</t>
  </si>
  <si>
    <t>absolute value without basement yard</t>
  </si>
  <si>
    <t>Staff cost/month</t>
  </si>
  <si>
    <t>Meyrjamal Metbagirova</t>
  </si>
  <si>
    <t>Ryskal Anna</t>
  </si>
  <si>
    <t>Muradova Farida</t>
  </si>
  <si>
    <t xml:space="preserve">annual salaries of all CP staff+short-term replacements except short-term replacements for Sec Guards, UNHCR guard and except salary of CS Manager  </t>
  </si>
  <si>
    <t>Anna Ryskal</t>
  </si>
  <si>
    <t>Aygul Achilova</t>
  </si>
  <si>
    <t>annual salary of  CS Manager</t>
  </si>
  <si>
    <t>Lilia Mammieva</t>
  </si>
  <si>
    <t>Staff salary/month</t>
  </si>
  <si>
    <t>Total cost/month</t>
  </si>
  <si>
    <t>Total Agency Apportionment (A + B)*</t>
  </si>
  <si>
    <t>number of procurement cases; recruitment cases, vouchers made; payroll and administrative services provided to all CS staff</t>
  </si>
  <si>
    <t>Janna Agaeva</t>
  </si>
  <si>
    <t>Current Salary of CS staff (SC holders)</t>
  </si>
  <si>
    <t>Draft Budget for 2014</t>
  </si>
  <si>
    <t>Email services/Internet for CS staff/mobile</t>
  </si>
  <si>
    <t>Actibity 4</t>
  </si>
  <si>
    <t>Activity 5</t>
  </si>
  <si>
    <t xml:space="preserve">Renovation of the central heating system in the basement </t>
  </si>
  <si>
    <t>WC construction at the 4th floor</t>
  </si>
  <si>
    <t xml:space="preserve">Operating Costs </t>
  </si>
  <si>
    <t>Post#1 Reconstruction</t>
  </si>
  <si>
    <t xml:space="preserve">Maintenance of the building and systems </t>
  </si>
  <si>
    <t xml:space="preserve">maintenance of the generator </t>
  </si>
  <si>
    <t>equipping of the technical staff of CS with tools, facilities</t>
  </si>
  <si>
    <t>Desinfection of the building</t>
  </si>
  <si>
    <t>Consulting Services/Trainings</t>
  </si>
  <si>
    <t>Procurement of goods</t>
  </si>
  <si>
    <t>Procurement of refrigerator for Security Guards</t>
  </si>
  <si>
    <t>Capital investments (savings from 2013 year)</t>
  </si>
  <si>
    <t>Activity3 + contingency</t>
  </si>
  <si>
    <t>Procurement of vacuum cleaners</t>
  </si>
  <si>
    <t>$150 per vacuum cleaner</t>
  </si>
  <si>
    <t>Common Services Manager, Receptionist, maintenance engineer. $2,124 per quarter=$8,496 annually+$78.67(Danimex) satellite connection for RC</t>
  </si>
  <si>
    <t>maintenace of the roof</t>
  </si>
  <si>
    <t>Retreat/coffee-breaks, stationary for trainings</t>
  </si>
  <si>
    <t>Repairing/construction works</t>
  </si>
  <si>
    <t xml:space="preserve">Procurement of office furniture for CS office </t>
  </si>
  <si>
    <t xml:space="preserve">2desk cupboards for CS office-$100; </t>
  </si>
  <si>
    <t>Development of the project for renovation of the sewage and water systems</t>
  </si>
  <si>
    <t xml:space="preserve"> to be paid from the savings left from the last year</t>
  </si>
  <si>
    <t>Driver for the cleaners (3 months)</t>
  </si>
  <si>
    <t>$7,461 (preliminary)</t>
  </si>
  <si>
    <t>Refilling of the fire extinquishers</t>
  </si>
  <si>
    <t>Outdoor lightening improvement</t>
  </si>
  <si>
    <r>
      <t xml:space="preserve">$113 per light-emitting diod lamp * 4= </t>
    </r>
    <r>
      <rPr>
        <b/>
        <sz val="12"/>
        <rFont val="Times New Roman"/>
        <family val="1"/>
        <charset val="204"/>
      </rPr>
      <t>$450</t>
    </r>
    <r>
      <rPr>
        <sz val="12"/>
        <rFont val="Times New Roman"/>
        <family val="1"/>
        <charset val="204"/>
      </rPr>
      <t xml:space="preserve"> </t>
    </r>
  </si>
  <si>
    <t>Maintenance of video surveillance and fire alarming systems</t>
  </si>
  <si>
    <r>
      <t>$211 for maintenance of video surveillance; $175.4-for fire alarming system-</t>
    </r>
    <r>
      <rPr>
        <b/>
        <sz val="12"/>
        <rFont val="Times New Roman"/>
        <family val="1"/>
        <charset val="204"/>
      </rPr>
      <t xml:space="preserve">$386. </t>
    </r>
  </si>
  <si>
    <t>Development of the project for renovation of the fire alarming system</t>
  </si>
  <si>
    <t>security-related activities</t>
  </si>
  <si>
    <t xml:space="preserve">As per Fire Management Department's instructions </t>
  </si>
  <si>
    <t xml:space="preserve">(2) Contingency- to meet urgent requirements. </t>
  </si>
  <si>
    <t>Contingency (2)</t>
  </si>
  <si>
    <t>Short-term replacements(1)</t>
  </si>
  <si>
    <t>Capital investments (savings from previous year)(3)</t>
  </si>
  <si>
    <t>(3) Funds of this activity are annually formed by unused budget balances left from previous financial years</t>
  </si>
  <si>
    <t xml:space="preserve">Agency </t>
  </si>
  <si>
    <t xml:space="preserve">Amount </t>
  </si>
  <si>
    <t>Total budget amount</t>
  </si>
  <si>
    <t>Signatures</t>
  </si>
  <si>
    <t xml:space="preserve">Name of the Representative </t>
  </si>
  <si>
    <t>Vacant</t>
  </si>
  <si>
    <t>Operating costs for 2015 (salaries, utilities and supplies)</t>
  </si>
  <si>
    <t xml:space="preserve">**) The common UN House staff (CS Manager, Receptionists, Guards, Cleaners, Gardener, Engineer) is not included in the number of agency staff. </t>
  </si>
  <si>
    <t>additional space</t>
  </si>
  <si>
    <t>Shared kitchen</t>
  </si>
  <si>
    <t>Large WB room</t>
  </si>
  <si>
    <t>Total space added</t>
  </si>
  <si>
    <t>Oraz's room</t>
  </si>
  <si>
    <t>Server room</t>
  </si>
  <si>
    <t>Serdar's room</t>
  </si>
  <si>
    <t xml:space="preserve">**) The common UN House staff (CS Manager, Receptionist, Guards, Cleaners, Gardener, Engineer) is not included in the number of agency staff. </t>
  </si>
  <si>
    <t>ACTIVITY5</t>
  </si>
  <si>
    <t>Capital Investments</t>
  </si>
  <si>
    <t>$4,521.40 (preliminary)</t>
  </si>
  <si>
    <t>Cost-sharing formula for Activities 1 and 3</t>
  </si>
  <si>
    <t>Cost-sharing formula for Activity 4</t>
  </si>
  <si>
    <t>Sundries</t>
  </si>
  <si>
    <t xml:space="preserve">Bank charges </t>
  </si>
  <si>
    <t>Procurement of diesel oil</t>
  </si>
  <si>
    <t xml:space="preserve">Advertisement </t>
  </si>
  <si>
    <t>Publication of advertisements for tender and roster</t>
  </si>
  <si>
    <t>Repairing of corridor at 4th floor</t>
  </si>
  <si>
    <t>%  Act1&amp;3</t>
  </si>
  <si>
    <t>Activity 1 and 3</t>
  </si>
  <si>
    <t>%  Act4</t>
  </si>
  <si>
    <t>Act1&amp;3/   month</t>
  </si>
  <si>
    <t>Activity 4/   month</t>
  </si>
  <si>
    <t>Total month</t>
  </si>
  <si>
    <t>Activity 4 (UNHCR)</t>
  </si>
  <si>
    <t>Renovation of the water pipes in the pumping room</t>
  </si>
  <si>
    <t>$150 - materials; $250 - works</t>
  </si>
  <si>
    <t>Monthly budget</t>
  </si>
  <si>
    <t>Repairing of the roof at the 2nd and 4th floors</t>
  </si>
  <si>
    <t>1 recruitment case, 150 payments, payroll and administrative services provided to all CS staff (19 persons)</t>
  </si>
  <si>
    <t>CS Budget for 2015</t>
  </si>
  <si>
    <t>Annex B - 2015 Common Services Budget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</si>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</sst>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&quot;$&quot;#,##0.0"/>
  </numFmts>
  <fonts count="42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 Unicode MS"/>
      <family val="2"/>
    </font>
    <font>
      <sz val="10"/>
      <name val="Arial Unicode MS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indexed="48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u/>
      <sz val="14"/>
      <name val="Myriad Pro"/>
      <family val="2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Unicode MS"/>
      <family val="2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10"/>
      <color theme="0"/>
      <name val="Arial Unicode MS"/>
      <family val="2"/>
    </font>
    <font>
      <sz val="10"/>
      <color theme="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1" xfId="0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4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0" fontId="8" fillId="0" borderId="2" xfId="0" quotePrefix="1" applyFont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0" fillId="0" borderId="5" xfId="0" applyBorder="1"/>
    <xf numFmtId="0" fontId="8" fillId="0" borderId="2" xfId="0" applyFont="1" applyBorder="1" applyAlignment="1">
      <alignment horizontal="right" wrapText="1"/>
    </xf>
    <xf numFmtId="0" fontId="0" fillId="0" borderId="5" xfId="0" applyFill="1" applyBorder="1"/>
    <xf numFmtId="10" fontId="0" fillId="0" borderId="0" xfId="0" applyNumberFormat="1" applyBorder="1"/>
    <xf numFmtId="0" fontId="0" fillId="0" borderId="6" xfId="0" applyBorder="1"/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6" fontId="11" fillId="6" borderId="7" xfId="0" applyNumberFormat="1" applyFont="1" applyFill="1" applyBorder="1" applyAlignment="1">
      <alignment horizontal="left" vertical="center" indent="1"/>
    </xf>
    <xf numFmtId="166" fontId="11" fillId="6" borderId="8" xfId="0" applyNumberFormat="1" applyFont="1" applyFill="1" applyBorder="1" applyAlignment="1">
      <alignment horizontal="center" vertical="center"/>
    </xf>
    <xf numFmtId="166" fontId="11" fillId="6" borderId="9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left" vertical="center" indent="1"/>
    </xf>
    <xf numFmtId="2" fontId="0" fillId="0" borderId="1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left" vertical="center" indent="3"/>
    </xf>
    <xf numFmtId="2" fontId="0" fillId="0" borderId="12" xfId="0" applyNumberFormat="1" applyBorder="1" applyAlignment="1">
      <alignment horizontal="left" vertical="center" indent="3"/>
    </xf>
    <xf numFmtId="166" fontId="0" fillId="0" borderId="13" xfId="0" applyNumberFormat="1" applyBorder="1" applyAlignment="1">
      <alignment horizontal="left" vertical="center" indent="1"/>
    </xf>
    <xf numFmtId="2" fontId="0" fillId="0" borderId="1" xfId="0" applyNumberFormat="1" applyBorder="1" applyAlignment="1">
      <alignment horizontal="left" vertical="center" indent="3"/>
    </xf>
    <xf numFmtId="2" fontId="0" fillId="0" borderId="14" xfId="0" applyNumberFormat="1" applyBorder="1" applyAlignment="1">
      <alignment horizontal="left" vertical="center" indent="3"/>
    </xf>
    <xf numFmtId="166" fontId="12" fillId="0" borderId="13" xfId="0" applyNumberFormat="1" applyFont="1" applyBorder="1" applyAlignment="1">
      <alignment horizontal="left" vertical="center" inden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 indent="3"/>
    </xf>
    <xf numFmtId="0" fontId="12" fillId="0" borderId="0" xfId="0" applyFont="1"/>
    <xf numFmtId="166" fontId="0" fillId="0" borderId="15" xfId="0" applyNumberFormat="1" applyBorder="1" applyAlignment="1">
      <alignment horizontal="left" vertical="center" indent="1"/>
    </xf>
    <xf numFmtId="166" fontId="0" fillId="0" borderId="0" xfId="0" applyNumberFormat="1"/>
    <xf numFmtId="166" fontId="0" fillId="0" borderId="17" xfId="0" applyNumberFormat="1" applyBorder="1" applyAlignment="1">
      <alignment horizontal="left" indent="3"/>
    </xf>
    <xf numFmtId="166" fontId="0" fillId="0" borderId="0" xfId="0" applyNumberFormat="1" applyAlignment="1">
      <alignment horizontal="left" indent="3"/>
    </xf>
    <xf numFmtId="10" fontId="13" fillId="7" borderId="22" xfId="3" applyNumberFormat="1" applyFont="1" applyFill="1" applyBorder="1" applyAlignment="1">
      <alignment horizontal="center" vertical="center"/>
    </xf>
    <xf numFmtId="10" fontId="14" fillId="7" borderId="22" xfId="3" applyNumberFormat="1" applyFont="1" applyFill="1" applyBorder="1" applyAlignment="1">
      <alignment horizontal="center" vertical="center"/>
    </xf>
    <xf numFmtId="167" fontId="14" fillId="7" borderId="21" xfId="3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164" fontId="5" fillId="0" borderId="0" xfId="0" applyNumberFormat="1" applyFont="1"/>
    <xf numFmtId="4" fontId="5" fillId="0" borderId="0" xfId="0" applyNumberFormat="1" applyFont="1"/>
    <xf numFmtId="0" fontId="16" fillId="0" borderId="0" xfId="0" applyFont="1"/>
    <xf numFmtId="0" fontId="0" fillId="0" borderId="1" xfId="0" applyBorder="1" applyAlignment="1">
      <alignment vertical="top" wrapText="1"/>
    </xf>
    <xf numFmtId="10" fontId="7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10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6" fontId="0" fillId="0" borderId="1" xfId="0" applyNumberFormat="1" applyBorder="1" applyAlignment="1">
      <alignment horizontal="center"/>
    </xf>
    <xf numFmtId="8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6" fontId="0" fillId="8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24" fillId="0" borderId="2" xfId="0" applyFont="1" applyBorder="1" applyAlignment="1">
      <alignment wrapText="1"/>
    </xf>
    <xf numFmtId="164" fontId="24" fillId="0" borderId="2" xfId="0" applyNumberFormat="1" applyFont="1" applyBorder="1" applyAlignment="1">
      <alignment wrapText="1"/>
    </xf>
    <xf numFmtId="0" fontId="24" fillId="0" borderId="2" xfId="0" applyFont="1" applyBorder="1" applyAlignment="1">
      <alignment horizontal="right" wrapText="1"/>
    </xf>
    <xf numFmtId="0" fontId="24" fillId="0" borderId="2" xfId="0" quotePrefix="1" applyFont="1" applyBorder="1" applyAlignment="1">
      <alignment horizontal="right" wrapText="1"/>
    </xf>
    <xf numFmtId="0" fontId="25" fillId="0" borderId="5" xfId="0" applyFont="1" applyFill="1" applyBorder="1"/>
    <xf numFmtId="10" fontId="2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2" fontId="0" fillId="9" borderId="11" xfId="0" applyNumberFormat="1" applyFill="1" applyBorder="1" applyAlignment="1">
      <alignment horizontal="left" vertical="center" indent="3"/>
    </xf>
    <xf numFmtId="2" fontId="0" fillId="9" borderId="1" xfId="0" applyNumberFormat="1" applyFill="1" applyBorder="1" applyAlignment="1">
      <alignment horizontal="left" vertical="center" indent="3"/>
    </xf>
    <xf numFmtId="0" fontId="0" fillId="0" borderId="1" xfId="0" applyFill="1" applyBorder="1"/>
    <xf numFmtId="4" fontId="0" fillId="0" borderId="1" xfId="0" applyNumberFormat="1" applyFill="1" applyBorder="1"/>
    <xf numFmtId="164" fontId="8" fillId="0" borderId="2" xfId="0" applyNumberFormat="1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/>
    <xf numFmtId="0" fontId="27" fillId="0" borderId="1" xfId="0" applyFont="1" applyFill="1" applyBorder="1"/>
    <xf numFmtId="164" fontId="0" fillId="0" borderId="1" xfId="0" applyNumberFormat="1" applyBorder="1" applyAlignment="1">
      <alignment horizontal="right"/>
    </xf>
    <xf numFmtId="10" fontId="0" fillId="0" borderId="0" xfId="0" applyNumberFormat="1" applyAlignment="1">
      <alignment horizontal="left" indent="3"/>
    </xf>
    <xf numFmtId="43" fontId="0" fillId="0" borderId="0" xfId="1" applyFont="1"/>
    <xf numFmtId="43" fontId="0" fillId="0" borderId="0" xfId="0" applyNumberFormat="1"/>
    <xf numFmtId="166" fontId="5" fillId="0" borderId="0" xfId="0" applyNumberFormat="1" applyFont="1"/>
    <xf numFmtId="166" fontId="5" fillId="0" borderId="0" xfId="0" applyNumberFormat="1" applyFont="1" applyAlignment="1">
      <alignment horizontal="left" indent="3"/>
    </xf>
    <xf numFmtId="2" fontId="5" fillId="0" borderId="0" xfId="3" applyNumberFormat="1" applyFont="1" applyAlignment="1">
      <alignment horizontal="left" indent="3"/>
    </xf>
    <xf numFmtId="0" fontId="28" fillId="0" borderId="0" xfId="0" applyFont="1"/>
    <xf numFmtId="0" fontId="17" fillId="0" borderId="0" xfId="0" applyFont="1"/>
    <xf numFmtId="0" fontId="28" fillId="0" borderId="0" xfId="0" applyFont="1" applyFill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9" fontId="17" fillId="0" borderId="0" xfId="0" applyNumberFormat="1" applyFont="1" applyFill="1"/>
    <xf numFmtId="0" fontId="17" fillId="0" borderId="0" xfId="0" applyFont="1" applyFill="1"/>
    <xf numFmtId="0" fontId="17" fillId="0" borderId="1" xfId="0" applyFont="1" applyBorder="1"/>
    <xf numFmtId="2" fontId="17" fillId="9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2" fontId="28" fillId="0" borderId="0" xfId="0" applyNumberFormat="1" applyFont="1"/>
    <xf numFmtId="2" fontId="28" fillId="8" borderId="0" xfId="0" applyNumberFormat="1" applyFont="1" applyFill="1"/>
    <xf numFmtId="0" fontId="28" fillId="0" borderId="0" xfId="0" applyFont="1" applyAlignment="1">
      <alignment horizontal="right"/>
    </xf>
    <xf numFmtId="0" fontId="17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2" fontId="28" fillId="0" borderId="0" xfId="0" applyNumberFormat="1" applyFont="1" applyFill="1"/>
    <xf numFmtId="0" fontId="28" fillId="0" borderId="0" xfId="0" applyFont="1" applyFill="1" applyAlignment="1">
      <alignment horizontal="right"/>
    </xf>
    <xf numFmtId="2" fontId="17" fillId="0" borderId="1" xfId="0" applyNumberFormat="1" applyFont="1" applyBorder="1" applyAlignment="1">
      <alignment horizontal="center"/>
    </xf>
    <xf numFmtId="164" fontId="17" fillId="0" borderId="23" xfId="0" applyNumberFormat="1" applyFont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0" fontId="19" fillId="10" borderId="1" xfId="0" applyFont="1" applyFill="1" applyBorder="1"/>
    <xf numFmtId="2" fontId="19" fillId="10" borderId="1" xfId="0" applyNumberFormat="1" applyFont="1" applyFill="1" applyBorder="1" applyAlignment="1">
      <alignment horizontal="center"/>
    </xf>
    <xf numFmtId="164" fontId="19" fillId="10" borderId="1" xfId="0" applyNumberFormat="1" applyFont="1" applyFill="1" applyBorder="1" applyAlignment="1">
      <alignment horizontal="center"/>
    </xf>
    <xf numFmtId="164" fontId="28" fillId="0" borderId="0" xfId="0" applyNumberFormat="1" applyFont="1"/>
    <xf numFmtId="0" fontId="28" fillId="0" borderId="0" xfId="0" applyFont="1" applyFill="1" applyAlignment="1"/>
    <xf numFmtId="2" fontId="28" fillId="0" borderId="0" xfId="0" applyNumberFormat="1" applyFont="1" applyFill="1" applyAlignment="1"/>
    <xf numFmtId="0" fontId="17" fillId="9" borderId="1" xfId="0" applyFont="1" applyFill="1" applyBorder="1" applyAlignment="1">
      <alignment horizontal="center"/>
    </xf>
    <xf numFmtId="0" fontId="28" fillId="11" borderId="0" xfId="0" applyFont="1" applyFill="1"/>
    <xf numFmtId="0" fontId="17" fillId="0" borderId="0" xfId="0" applyFont="1" applyFill="1" applyAlignment="1"/>
    <xf numFmtId="0" fontId="19" fillId="1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5" xfId="0" applyNumberFormat="1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28" fillId="0" borderId="0" xfId="0" applyFont="1" applyAlignment="1">
      <alignment vertical="top"/>
    </xf>
    <xf numFmtId="0" fontId="17" fillId="0" borderId="1" xfId="0" applyFont="1" applyBorder="1" applyAlignment="1">
      <alignment vertical="top" wrapText="1"/>
    </xf>
    <xf numFmtId="164" fontId="28" fillId="9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28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1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top" wrapText="1"/>
    </xf>
    <xf numFmtId="0" fontId="17" fillId="9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164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justify" wrapText="1"/>
    </xf>
    <xf numFmtId="0" fontId="17" fillId="9" borderId="1" xfId="0" applyFont="1" applyFill="1" applyBorder="1" applyAlignment="1">
      <alignment horizontal="left" vertical="center"/>
    </xf>
    <xf numFmtId="0" fontId="28" fillId="9" borderId="1" xfId="0" applyFont="1" applyFill="1" applyBorder="1" applyAlignment="1">
      <alignment horizontal="center" vertical="center"/>
    </xf>
    <xf numFmtId="164" fontId="28" fillId="9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0" borderId="0" xfId="0" applyFont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9" fontId="28" fillId="9" borderId="26" xfId="0" applyNumberFormat="1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164" fontId="28" fillId="9" borderId="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0" fillId="2" borderId="1" xfId="0" applyFont="1" applyFill="1" applyBorder="1"/>
    <xf numFmtId="0" fontId="28" fillId="12" borderId="1" xfId="0" applyFont="1" applyFill="1" applyBorder="1"/>
    <xf numFmtId="164" fontId="28" fillId="12" borderId="1" xfId="0" applyNumberFormat="1" applyFont="1" applyFill="1" applyBorder="1"/>
    <xf numFmtId="0" fontId="17" fillId="13" borderId="1" xfId="0" applyFont="1" applyFill="1" applyBorder="1"/>
    <xf numFmtId="0" fontId="17" fillId="0" borderId="0" xfId="0" applyFont="1" applyAlignment="1">
      <alignment vertical="center"/>
    </xf>
    <xf numFmtId="0" fontId="28" fillId="0" borderId="29" xfId="0" applyFont="1" applyBorder="1" applyAlignment="1">
      <alignment horizontal="center" vertical="center"/>
    </xf>
    <xf numFmtId="164" fontId="28" fillId="14" borderId="29" xfId="0" applyNumberFormat="1" applyFont="1" applyFill="1" applyBorder="1" applyAlignment="1">
      <alignment horizontal="center" vertical="center"/>
    </xf>
    <xf numFmtId="164" fontId="28" fillId="0" borderId="29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/>
    </xf>
    <xf numFmtId="164" fontId="28" fillId="14" borderId="16" xfId="0" applyNumberFormat="1" applyFont="1" applyFill="1" applyBorder="1" applyAlignment="1">
      <alignment horizontal="center" vertical="center"/>
    </xf>
    <xf numFmtId="0" fontId="17" fillId="0" borderId="3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 vertical="center"/>
    </xf>
    <xf numFmtId="164" fontId="28" fillId="14" borderId="22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/>
    </xf>
    <xf numFmtId="164" fontId="28" fillId="14" borderId="0" xfId="0" applyNumberFormat="1" applyFont="1" applyFill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9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indent="3"/>
    </xf>
    <xf numFmtId="164" fontId="0" fillId="15" borderId="1" xfId="0" applyNumberFormat="1" applyFill="1" applyBorder="1"/>
    <xf numFmtId="164" fontId="28" fillId="0" borderId="0" xfId="0" applyNumberFormat="1" applyFont="1" applyAlignment="1">
      <alignment vertical="top"/>
    </xf>
    <xf numFmtId="0" fontId="28" fillId="13" borderId="1" xfId="0" applyFont="1" applyFill="1" applyBorder="1"/>
    <xf numFmtId="0" fontId="28" fillId="0" borderId="35" xfId="0" applyFont="1" applyBorder="1" applyAlignment="1">
      <alignment horizontal="center" vertical="center"/>
    </xf>
    <xf numFmtId="2" fontId="0" fillId="0" borderId="0" xfId="0" applyNumberForma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center"/>
    </xf>
    <xf numFmtId="164" fontId="28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0" fontId="29" fillId="0" borderId="0" xfId="0" applyFont="1"/>
    <xf numFmtId="0" fontId="18" fillId="12" borderId="1" xfId="0" applyFont="1" applyFill="1" applyBorder="1" applyAlignment="1">
      <alignment vertical="top" wrapText="1"/>
    </xf>
    <xf numFmtId="0" fontId="17" fillId="12" borderId="1" xfId="0" applyFont="1" applyFill="1" applyBorder="1" applyAlignment="1">
      <alignment horizontal="center" vertical="center"/>
    </xf>
    <xf numFmtId="164" fontId="17" fillId="12" borderId="1" xfId="0" applyNumberFormat="1" applyFont="1" applyFill="1" applyBorder="1" applyAlignment="1">
      <alignment horizontal="center" vertical="center"/>
    </xf>
    <xf numFmtId="168" fontId="17" fillId="12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vertical="top" wrapText="1"/>
    </xf>
    <xf numFmtId="164" fontId="28" fillId="12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center" vertical="center"/>
    </xf>
    <xf numFmtId="164" fontId="29" fillId="12" borderId="1" xfId="0" applyNumberFormat="1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 vertical="justify" wrapText="1"/>
    </xf>
    <xf numFmtId="0" fontId="18" fillId="12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21" fillId="0" borderId="0" xfId="0" applyFont="1"/>
    <xf numFmtId="0" fontId="28" fillId="9" borderId="0" xfId="0" applyFont="1" applyFill="1"/>
    <xf numFmtId="0" fontId="22" fillId="13" borderId="1" xfId="0" applyFont="1" applyFill="1" applyBorder="1"/>
    <xf numFmtId="164" fontId="28" fillId="0" borderId="25" xfId="0" applyNumberFormat="1" applyFont="1" applyBorder="1"/>
    <xf numFmtId="0" fontId="21" fillId="8" borderId="28" xfId="0" applyFont="1" applyFill="1" applyBorder="1"/>
    <xf numFmtId="0" fontId="31" fillId="8" borderId="0" xfId="0" applyFont="1" applyFill="1"/>
    <xf numFmtId="164" fontId="31" fillId="8" borderId="1" xfId="0" applyNumberFormat="1" applyFont="1" applyFill="1" applyBorder="1"/>
    <xf numFmtId="164" fontId="21" fillId="8" borderId="28" xfId="0" applyNumberFormat="1" applyFont="1" applyFill="1" applyBorder="1"/>
    <xf numFmtId="164" fontId="30" fillId="13" borderId="1" xfId="0" applyNumberFormat="1" applyFont="1" applyFill="1" applyBorder="1" applyAlignment="1">
      <alignment horizontal="center"/>
    </xf>
    <xf numFmtId="168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wrapText="1"/>
    </xf>
    <xf numFmtId="0" fontId="28" fillId="0" borderId="35" xfId="0" applyFont="1" applyBorder="1" applyAlignment="1">
      <alignment horizontal="center" vertical="center"/>
    </xf>
    <xf numFmtId="0" fontId="17" fillId="16" borderId="1" xfId="0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center" vertical="center"/>
    </xf>
    <xf numFmtId="164" fontId="28" fillId="16" borderId="1" xfId="0" applyNumberFormat="1" applyFont="1" applyFill="1" applyBorder="1" applyAlignment="1">
      <alignment horizontal="center" vertical="center"/>
    </xf>
    <xf numFmtId="164" fontId="17" fillId="16" borderId="1" xfId="0" applyNumberFormat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vertical="top" wrapText="1"/>
    </xf>
    <xf numFmtId="0" fontId="17" fillId="16" borderId="1" xfId="0" applyFont="1" applyFill="1" applyBorder="1" applyAlignment="1">
      <alignment horizontal="left" vertical="justify" wrapText="1"/>
    </xf>
    <xf numFmtId="0" fontId="17" fillId="16" borderId="1" xfId="0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left" wrapText="1"/>
    </xf>
    <xf numFmtId="164" fontId="33" fillId="16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10" fontId="8" fillId="0" borderId="0" xfId="0" applyNumberFormat="1" applyFont="1" applyFill="1" applyBorder="1" applyAlignment="1">
      <alignment wrapText="1"/>
    </xf>
    <xf numFmtId="164" fontId="5" fillId="0" borderId="16" xfId="0" applyNumberFormat="1" applyFont="1" applyBorder="1"/>
    <xf numFmtId="0" fontId="5" fillId="0" borderId="15" xfId="0" applyFont="1" applyBorder="1" applyAlignment="1">
      <alignment wrapText="1"/>
    </xf>
    <xf numFmtId="164" fontId="34" fillId="0" borderId="1" xfId="0" applyNumberFormat="1" applyFont="1" applyBorder="1" applyAlignment="1">
      <alignment vertical="center"/>
    </xf>
    <xf numFmtId="0" fontId="35" fillId="0" borderId="13" xfId="0" applyFont="1" applyFill="1" applyBorder="1" applyAlignment="1">
      <alignment horizontal="left" vertical="center"/>
    </xf>
    <xf numFmtId="0" fontId="35" fillId="0" borderId="13" xfId="0" applyFont="1" applyBorder="1" applyAlignment="1">
      <alignment vertical="center"/>
    </xf>
    <xf numFmtId="0" fontId="36" fillId="0" borderId="50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10" fontId="3" fillId="0" borderId="16" xfId="3" applyNumberFormat="1" applyFont="1" applyBorder="1" applyAlignment="1">
      <alignment horizontal="center" vertical="center"/>
    </xf>
    <xf numFmtId="10" fontId="3" fillId="0" borderId="0" xfId="3" applyNumberFormat="1" applyFont="1" applyAlignment="1">
      <alignment horizontal="left" indent="3"/>
    </xf>
    <xf numFmtId="10" fontId="3" fillId="0" borderId="0" xfId="3" applyNumberFormat="1" applyFont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  <xf numFmtId="10" fontId="3" fillId="0" borderId="18" xfId="3" applyNumberFormat="1" applyFont="1" applyBorder="1" applyAlignment="1">
      <alignment horizontal="left" vertical="center" indent="3"/>
    </xf>
    <xf numFmtId="10" fontId="3" fillId="0" borderId="19" xfId="3" applyNumberFormat="1" applyFont="1" applyBorder="1" applyAlignment="1">
      <alignment horizontal="left" vertical="center" indent="3"/>
    </xf>
    <xf numFmtId="10" fontId="3" fillId="0" borderId="20" xfId="3" applyNumberFormat="1" applyFont="1" applyBorder="1" applyAlignment="1">
      <alignment horizontal="center" vertical="center"/>
    </xf>
    <xf numFmtId="10" fontId="3" fillId="0" borderId="21" xfId="3" applyNumberFormat="1" applyFont="1" applyBorder="1" applyAlignment="1">
      <alignment horizontal="center" vertical="center"/>
    </xf>
    <xf numFmtId="10" fontId="3" fillId="0" borderId="11" xfId="3" applyNumberFormat="1" applyFont="1" applyBorder="1" applyAlignment="1">
      <alignment horizontal="center" vertical="center"/>
    </xf>
    <xf numFmtId="166" fontId="1" fillId="0" borderId="0" xfId="0" applyNumberFormat="1" applyFont="1"/>
    <xf numFmtId="166" fontId="6" fillId="11" borderId="37" xfId="0" applyNumberFormat="1" applyFont="1" applyFill="1" applyBorder="1" applyAlignment="1">
      <alignment horizontal="center"/>
    </xf>
    <xf numFmtId="166" fontId="5" fillId="11" borderId="38" xfId="0" applyNumberFormat="1" applyFont="1" applyFill="1" applyBorder="1" applyAlignment="1"/>
    <xf numFmtId="166" fontId="0" fillId="11" borderId="0" xfId="0" applyNumberFormat="1" applyFill="1" applyAlignment="1">
      <alignment horizontal="left" indent="1"/>
    </xf>
    <xf numFmtId="2" fontId="0" fillId="11" borderId="0" xfId="0" applyNumberFormat="1" applyFill="1" applyAlignment="1">
      <alignment horizontal="left" indent="3"/>
    </xf>
    <xf numFmtId="166" fontId="1" fillId="11" borderId="0" xfId="0" applyNumberFormat="1" applyFont="1" applyFill="1" applyAlignment="1">
      <alignment horizontal="left" indent="1"/>
    </xf>
    <xf numFmtId="166" fontId="6" fillId="17" borderId="37" xfId="0" applyNumberFormat="1" applyFont="1" applyFill="1" applyBorder="1" applyAlignment="1">
      <alignment horizontal="center"/>
    </xf>
    <xf numFmtId="166" fontId="5" fillId="17" borderId="38" xfId="0" applyNumberFormat="1" applyFont="1" applyFill="1" applyBorder="1" applyAlignment="1"/>
    <xf numFmtId="166" fontId="1" fillId="17" borderId="0" xfId="0" applyNumberFormat="1" applyFont="1" applyFill="1" applyAlignment="1">
      <alignment horizontal="left" indent="1"/>
    </xf>
    <xf numFmtId="166" fontId="0" fillId="17" borderId="0" xfId="0" applyNumberFormat="1" applyFill="1" applyAlignment="1">
      <alignment horizontal="left" indent="3"/>
    </xf>
    <xf numFmtId="0" fontId="1" fillId="17" borderId="0" xfId="0" applyFont="1" applyFill="1" applyAlignment="1">
      <alignment horizontal="left" indent="1"/>
    </xf>
    <xf numFmtId="0" fontId="0" fillId="17" borderId="0" xfId="0" applyFill="1" applyAlignment="1">
      <alignment horizontal="left" indent="3"/>
    </xf>
    <xf numFmtId="0" fontId="1" fillId="17" borderId="49" xfId="0" applyFont="1" applyFill="1" applyBorder="1" applyAlignment="1">
      <alignment horizontal="left" indent="1"/>
    </xf>
    <xf numFmtId="0" fontId="0" fillId="17" borderId="49" xfId="0" applyFill="1" applyBorder="1" applyAlignment="1">
      <alignment horizontal="left" indent="3"/>
    </xf>
    <xf numFmtId="166" fontId="5" fillId="17" borderId="0" xfId="0" applyNumberFormat="1" applyFont="1" applyFill="1" applyAlignment="1">
      <alignment horizontal="right" indent="1"/>
    </xf>
    <xf numFmtId="2" fontId="5" fillId="17" borderId="0" xfId="0" applyNumberFormat="1" applyFont="1" applyFill="1" applyAlignment="1">
      <alignment horizontal="left" indent="3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8" fillId="0" borderId="1" xfId="0" quotePrefix="1" applyFont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8" fillId="0" borderId="51" xfId="0" applyFont="1" applyBorder="1" applyAlignment="1">
      <alignment wrapText="1"/>
    </xf>
    <xf numFmtId="164" fontId="8" fillId="0" borderId="51" xfId="0" applyNumberFormat="1" applyFont="1" applyFill="1" applyBorder="1" applyAlignment="1">
      <alignment wrapText="1"/>
    </xf>
    <xf numFmtId="0" fontId="8" fillId="0" borderId="51" xfId="0" quotePrefix="1" applyFont="1" applyBorder="1" applyAlignment="1">
      <alignment horizontal="right" wrapText="1"/>
    </xf>
    <xf numFmtId="4" fontId="0" fillId="0" borderId="11" xfId="0" applyNumberFormat="1" applyBorder="1"/>
    <xf numFmtId="4" fontId="0" fillId="0" borderId="0" xfId="0" applyNumberFormat="1" applyBorder="1"/>
    <xf numFmtId="0" fontId="18" fillId="2" borderId="1" xfId="0" applyFont="1" applyFill="1" applyBorder="1" applyAlignment="1">
      <alignment horizontal="left"/>
    </xf>
    <xf numFmtId="0" fontId="17" fillId="1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top" wrapText="1"/>
    </xf>
    <xf numFmtId="9" fontId="28" fillId="9" borderId="1" xfId="0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vertical="center"/>
    </xf>
    <xf numFmtId="10" fontId="3" fillId="0" borderId="1" xfId="3" applyNumberFormat="1" applyFont="1" applyFill="1" applyBorder="1" applyAlignment="1">
      <alignment horizontal="center" vertical="center" wrapText="1"/>
    </xf>
    <xf numFmtId="10" fontId="10" fillId="4" borderId="1" xfId="3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/>
    <xf numFmtId="164" fontId="1" fillId="18" borderId="1" xfId="0" applyNumberFormat="1" applyFont="1" applyFill="1" applyBorder="1" applyAlignment="1">
      <alignment horizontal="right" vertical="center" wrapText="1"/>
    </xf>
    <xf numFmtId="0" fontId="31" fillId="8" borderId="1" xfId="0" applyFont="1" applyFill="1" applyBorder="1"/>
    <xf numFmtId="0" fontId="29" fillId="2" borderId="1" xfId="0" applyFont="1" applyFill="1" applyBorder="1"/>
    <xf numFmtId="166" fontId="5" fillId="9" borderId="27" xfId="0" applyNumberFormat="1" applyFont="1" applyFill="1" applyBorder="1" applyAlignment="1">
      <alignment horizontal="right" indent="1"/>
    </xf>
    <xf numFmtId="2" fontId="5" fillId="9" borderId="27" xfId="0" applyNumberFormat="1" applyFont="1" applyFill="1" applyBorder="1" applyAlignment="1">
      <alignment horizontal="left" indent="3"/>
    </xf>
    <xf numFmtId="0" fontId="28" fillId="0" borderId="1" xfId="0" applyFont="1" applyBorder="1"/>
    <xf numFmtId="1" fontId="5" fillId="9" borderId="11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39" fillId="0" borderId="0" xfId="0" applyFont="1"/>
    <xf numFmtId="164" fontId="39" fillId="0" borderId="0" xfId="0" applyNumberFormat="1" applyFont="1"/>
    <xf numFmtId="164" fontId="28" fillId="0" borderId="0" xfId="0" applyNumberFormat="1" applyFont="1" applyAlignment="1">
      <alignment vertical="center"/>
    </xf>
    <xf numFmtId="164" fontId="28" fillId="0" borderId="0" xfId="0" applyNumberFormat="1" applyFont="1" applyAlignment="1"/>
    <xf numFmtId="0" fontId="28" fillId="0" borderId="0" xfId="0" applyFont="1" applyAlignment="1"/>
    <xf numFmtId="0" fontId="40" fillId="0" borderId="2" xfId="0" applyFont="1" applyBorder="1" applyAlignment="1">
      <alignment wrapText="1"/>
    </xf>
    <xf numFmtId="164" fontId="40" fillId="0" borderId="2" xfId="0" applyNumberFormat="1" applyFont="1" applyBorder="1" applyAlignment="1">
      <alignment wrapText="1"/>
    </xf>
    <xf numFmtId="164" fontId="41" fillId="0" borderId="0" xfId="0" applyNumberFormat="1" applyFont="1"/>
    <xf numFmtId="0" fontId="41" fillId="0" borderId="0" xfId="0" applyNumberFormat="1" applyFont="1"/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26" fillId="0" borderId="16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165" fontId="36" fillId="0" borderId="29" xfId="0" applyNumberFormat="1" applyFont="1" applyFill="1" applyBorder="1" applyAlignment="1">
      <alignment horizontal="center" vertical="center" wrapText="1"/>
    </xf>
    <xf numFmtId="165" fontId="36" fillId="0" borderId="3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0" borderId="14" xfId="0" applyNumberFormat="1" applyFont="1" applyBorder="1" applyAlignment="1">
      <alignment horizontal="center" wrapText="1"/>
    </xf>
    <xf numFmtId="0" fontId="28" fillId="0" borderId="36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7" fillId="0" borderId="49" xfId="0" applyFont="1" applyBorder="1" applyAlignment="1">
      <alignment horizontal="left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Border="1" applyAlignment="1"/>
    <xf numFmtId="166" fontId="1" fillId="0" borderId="37" xfId="0" applyNumberFormat="1" applyFont="1" applyBorder="1" applyAlignment="1">
      <alignment horizontal="left" vertical="center" wrapText="1" indent="1"/>
    </xf>
    <xf numFmtId="0" fontId="0" fillId="0" borderId="17" xfId="0" applyBorder="1"/>
    <xf numFmtId="0" fontId="0" fillId="0" borderId="38" xfId="0" applyBorder="1"/>
    <xf numFmtId="166" fontId="11" fillId="6" borderId="39" xfId="0" applyNumberFormat="1" applyFont="1" applyFill="1" applyBorder="1" applyAlignment="1">
      <alignment horizontal="left" vertical="center" indent="1"/>
    </xf>
    <xf numFmtId="0" fontId="0" fillId="6" borderId="40" xfId="0" applyFill="1" applyBorder="1" applyAlignment="1">
      <alignment horizontal="left" vertical="center" indent="1"/>
    </xf>
    <xf numFmtId="166" fontId="0" fillId="0" borderId="41" xfId="0" applyNumberFormat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166" fontId="0" fillId="0" borderId="46" xfId="0" applyNumberForma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66" fontId="0" fillId="0" borderId="47" xfId="0" applyNumberForma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66" fontId="14" fillId="0" borderId="44" xfId="0" applyNumberFormat="1" applyFont="1" applyBorder="1" applyAlignment="1">
      <alignment horizontal="left" vertical="center" indent="1"/>
    </xf>
    <xf numFmtId="0" fontId="15" fillId="0" borderId="45" xfId="0" applyFont="1" applyBorder="1" applyAlignment="1">
      <alignment horizontal="left" vertical="center" indent="1"/>
    </xf>
    <xf numFmtId="166" fontId="0" fillId="0" borderId="37" xfId="0" applyNumberFormat="1" applyBorder="1" applyAlignment="1">
      <alignment horizontal="left" vertical="center" wrapText="1" indent="1"/>
    </xf>
    <xf numFmtId="0" fontId="21" fillId="0" borderId="49" xfId="0" applyFont="1" applyBorder="1" applyAlignment="1">
      <alignment horizontal="center" vertical="center"/>
    </xf>
    <xf numFmtId="166" fontId="0" fillId="0" borderId="43" xfId="0" applyNumberForma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166" fontId="0" fillId="0" borderId="44" xfId="0" applyNumberFormat="1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7" fillId="8" borderId="48" xfId="0" applyFont="1" applyFill="1" applyBorder="1" applyAlignment="1"/>
    <xf numFmtId="0" fontId="0" fillId="0" borderId="0" xfId="0" applyAlignme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"/>
  <sheetViews>
    <sheetView tabSelected="1" topLeftCell="A28" workbookViewId="0">
      <selection activeCell="B34" sqref="B34:C34"/>
    </sheetView>
  </sheetViews>
  <sheetFormatPr defaultRowHeight="13.2" x14ac:dyDescent="0.25"/>
  <cols>
    <col min="1" max="1" width="16.33203125" customWidth="1"/>
    <col min="2" max="2" width="13.6640625" customWidth="1"/>
    <col min="3" max="3" width="17.6640625" customWidth="1"/>
    <col min="4" max="4" width="12.5546875" customWidth="1"/>
    <col min="5" max="5" width="10.44140625" customWidth="1"/>
    <col min="6" max="6" width="14.33203125" customWidth="1"/>
    <col min="8" max="8" width="11.33203125" customWidth="1"/>
    <col min="9" max="9" width="11.5546875" customWidth="1"/>
    <col min="10" max="10" width="11.88671875" customWidth="1"/>
    <col min="11" max="11" width="12.6640625" customWidth="1"/>
  </cols>
  <sheetData>
    <row r="2" spans="1:12" ht="18" x14ac:dyDescent="0.35">
      <c r="A2" s="60" t="s">
        <v>238</v>
      </c>
      <c r="C2" s="8"/>
      <c r="E2" s="7"/>
      <c r="F2" s="9"/>
      <c r="I2" s="10"/>
      <c r="J2" s="11"/>
    </row>
    <row r="3" spans="1:12" x14ac:dyDescent="0.25">
      <c r="C3" s="8"/>
      <c r="F3" s="9"/>
      <c r="I3" s="10"/>
      <c r="J3" s="11"/>
    </row>
    <row r="4" spans="1:12" ht="30" x14ac:dyDescent="0.25">
      <c r="A4" s="12" t="s">
        <v>27</v>
      </c>
      <c r="B4" s="12" t="s">
        <v>28</v>
      </c>
      <c r="C4" s="13" t="s">
        <v>29</v>
      </c>
      <c r="D4" s="12" t="s">
        <v>30</v>
      </c>
      <c r="E4" s="12" t="s">
        <v>31</v>
      </c>
      <c r="F4" s="14" t="s">
        <v>32</v>
      </c>
      <c r="G4" s="15" t="s">
        <v>33</v>
      </c>
      <c r="H4" s="16" t="s">
        <v>34</v>
      </c>
      <c r="I4" s="62" t="s">
        <v>35</v>
      </c>
      <c r="J4" s="63"/>
    </row>
    <row r="5" spans="1:12" ht="30" x14ac:dyDescent="0.35">
      <c r="A5" s="17" t="s">
        <v>36</v>
      </c>
      <c r="B5" s="17" t="s">
        <v>37</v>
      </c>
      <c r="C5" s="90">
        <f>I5*J5</f>
        <v>12336.528716590909</v>
      </c>
      <c r="D5" s="17">
        <v>61200</v>
      </c>
      <c r="E5" s="19">
        <v>11300</v>
      </c>
      <c r="F5" s="19" t="s">
        <v>38</v>
      </c>
      <c r="G5" s="19" t="s">
        <v>39</v>
      </c>
      <c r="H5" s="20" t="s">
        <v>40</v>
      </c>
      <c r="I5" s="64">
        <f>'Cost_sharing_formula Act1&amp;3'!$C$21</f>
        <v>0.4007599271734158</v>
      </c>
      <c r="J5" s="65">
        <f>'Costs for 2015'!D58</f>
        <v>30782.839999999997</v>
      </c>
    </row>
    <row r="6" spans="1:12" ht="15" x14ac:dyDescent="0.35">
      <c r="A6" s="17"/>
      <c r="B6" s="17"/>
      <c r="C6" s="18">
        <f>I6*J5</f>
        <v>3495.5120517688533</v>
      </c>
      <c r="D6" s="17">
        <v>61200</v>
      </c>
      <c r="E6" s="17">
        <v>13920</v>
      </c>
      <c r="F6" s="19" t="s">
        <v>38</v>
      </c>
      <c r="G6" s="19" t="s">
        <v>41</v>
      </c>
      <c r="H6" s="21" t="s">
        <v>42</v>
      </c>
      <c r="I6" s="64">
        <f>'Cost_sharing_formula Act1&amp;3'!$D$21</f>
        <v>0.1135539167850937</v>
      </c>
      <c r="J6" s="85"/>
      <c r="L6" s="200"/>
    </row>
    <row r="7" spans="1:12" ht="15" x14ac:dyDescent="0.35">
      <c r="A7" s="17"/>
      <c r="B7" s="17"/>
      <c r="C7" s="18">
        <f>I7*J5</f>
        <v>6808.8540951368695</v>
      </c>
      <c r="D7" s="17">
        <v>61200</v>
      </c>
      <c r="E7" s="17">
        <v>13920</v>
      </c>
      <c r="F7" s="19" t="s">
        <v>38</v>
      </c>
      <c r="G7" s="19" t="s">
        <v>43</v>
      </c>
      <c r="H7" s="21" t="s">
        <v>44</v>
      </c>
      <c r="I7" s="64">
        <f>'Cost_sharing_formula Act1&amp;3'!$E$21</f>
        <v>0.22118992578777236</v>
      </c>
      <c r="J7" s="85"/>
      <c r="L7" s="11"/>
    </row>
    <row r="8" spans="1:12" ht="15" x14ac:dyDescent="0.35">
      <c r="A8" s="17"/>
      <c r="B8" s="17"/>
      <c r="C8" s="18">
        <f>I8*J5</f>
        <v>3494.5161769678816</v>
      </c>
      <c r="D8" s="17">
        <v>61200</v>
      </c>
      <c r="E8" s="17">
        <v>13920</v>
      </c>
      <c r="F8" s="19" t="s">
        <v>38</v>
      </c>
      <c r="G8" s="19">
        <v>10778</v>
      </c>
      <c r="H8" s="21" t="s">
        <v>45</v>
      </c>
      <c r="I8" s="64">
        <f>'Cost_sharing_formula Act1&amp;3'!$F$21</f>
        <v>0.11352156516318448</v>
      </c>
      <c r="J8" s="85"/>
      <c r="L8" s="11"/>
    </row>
    <row r="9" spans="1:12" ht="15" x14ac:dyDescent="0.35">
      <c r="A9" s="17"/>
      <c r="B9" s="17"/>
      <c r="C9" s="18">
        <f>I9*J5</f>
        <v>1850.7688619826886</v>
      </c>
      <c r="D9" s="17">
        <v>61200</v>
      </c>
      <c r="E9" s="17">
        <v>13920</v>
      </c>
      <c r="F9" s="19" t="s">
        <v>38</v>
      </c>
      <c r="G9" s="19" t="s">
        <v>46</v>
      </c>
      <c r="H9" s="21" t="s">
        <v>47</v>
      </c>
      <c r="I9" s="64">
        <f>'Cost_sharing_formula Act1&amp;3'!$G$21</f>
        <v>6.0123395436635758E-2</v>
      </c>
      <c r="J9" s="85"/>
      <c r="L9" s="11"/>
    </row>
    <row r="10" spans="1:12" ht="15" x14ac:dyDescent="0.35">
      <c r="A10" s="17"/>
      <c r="B10" s="17"/>
      <c r="C10" s="18">
        <f>I10*J5</f>
        <v>1109.3946120329533</v>
      </c>
      <c r="D10" s="17">
        <v>61200</v>
      </c>
      <c r="E10" s="17">
        <v>13920</v>
      </c>
      <c r="F10" s="19" t="s">
        <v>38</v>
      </c>
      <c r="G10" s="19" t="s">
        <v>48</v>
      </c>
      <c r="H10" s="21" t="s">
        <v>49</v>
      </c>
      <c r="I10" s="64">
        <f>'Cost_sharing_formula Act1&amp;3'!$H$21</f>
        <v>3.6039384671230898E-2</v>
      </c>
      <c r="J10" s="85"/>
      <c r="L10" s="11"/>
    </row>
    <row r="11" spans="1:12" ht="15" x14ac:dyDescent="0.35">
      <c r="A11" s="17"/>
      <c r="B11" s="17"/>
      <c r="C11" s="18">
        <f>I11*J5</f>
        <v>850.4034164601278</v>
      </c>
      <c r="D11" s="17">
        <v>61200</v>
      </c>
      <c r="E11" s="17">
        <v>13920</v>
      </c>
      <c r="F11" s="19" t="s">
        <v>38</v>
      </c>
      <c r="G11" s="19">
        <v>10153</v>
      </c>
      <c r="H11" s="21" t="s">
        <v>50</v>
      </c>
      <c r="I11" s="64">
        <f>'Cost_sharing_formula Act1&amp;3'!$I$21</f>
        <v>2.7625892102877053E-2</v>
      </c>
      <c r="J11" s="85"/>
      <c r="L11" s="11"/>
    </row>
    <row r="12" spans="1:12" ht="15" x14ac:dyDescent="0.35">
      <c r="A12" s="17"/>
      <c r="B12" s="17"/>
      <c r="C12" s="18">
        <f>I12*J5</f>
        <v>836.86206905971392</v>
      </c>
      <c r="D12" s="17">
        <v>61200</v>
      </c>
      <c r="E12" s="17">
        <v>13920</v>
      </c>
      <c r="F12" s="19" t="s">
        <v>38</v>
      </c>
      <c r="G12" s="19" t="s">
        <v>51</v>
      </c>
      <c r="H12" s="21" t="s">
        <v>52</v>
      </c>
      <c r="I12" s="64">
        <f>'Cost_sharing_formula Act1&amp;3'!$J$21</f>
        <v>2.7185992879789976E-2</v>
      </c>
      <c r="J12" s="85"/>
      <c r="L12" s="11"/>
    </row>
    <row r="13" spans="1:12" ht="15" x14ac:dyDescent="0.35">
      <c r="A13" s="17"/>
      <c r="B13" s="17"/>
      <c r="C13" s="18"/>
      <c r="D13" s="17"/>
      <c r="E13" s="17"/>
      <c r="F13" s="22"/>
      <c r="G13" s="19"/>
      <c r="H13" s="23"/>
      <c r="I13" s="64">
        <f>SUM(I5:I12)</f>
        <v>1</v>
      </c>
      <c r="J13" s="85"/>
      <c r="L13" s="11"/>
    </row>
    <row r="14" spans="1:12" ht="15" x14ac:dyDescent="0.35">
      <c r="A14" s="79"/>
      <c r="B14" s="79"/>
      <c r="C14" s="80"/>
      <c r="D14" s="79"/>
      <c r="E14" s="79"/>
      <c r="F14" s="81"/>
      <c r="G14" s="82"/>
      <c r="H14" s="83"/>
      <c r="I14" s="84"/>
      <c r="J14" s="85"/>
      <c r="L14" s="11"/>
    </row>
    <row r="15" spans="1:12" ht="30" x14ac:dyDescent="0.35">
      <c r="A15" s="17" t="s">
        <v>36</v>
      </c>
      <c r="B15" s="17" t="s">
        <v>37</v>
      </c>
      <c r="C15" s="18">
        <f>I15*J15</f>
        <v>21774.16651137183</v>
      </c>
      <c r="D15" s="17">
        <v>71400</v>
      </c>
      <c r="E15" s="19">
        <v>11300</v>
      </c>
      <c r="F15" s="19" t="s">
        <v>38</v>
      </c>
      <c r="G15" s="19" t="s">
        <v>39</v>
      </c>
      <c r="H15" s="20" t="s">
        <v>40</v>
      </c>
      <c r="I15" s="64">
        <f>'Cost_sharing_formula Act1&amp;3'!$C$21</f>
        <v>0.4007599271734158</v>
      </c>
      <c r="J15" s="65">
        <f>'Costs for 2015'!D57</f>
        <v>54332.195000000007</v>
      </c>
      <c r="L15" s="11"/>
    </row>
    <row r="16" spans="1:12" ht="15" x14ac:dyDescent="0.35">
      <c r="A16" s="17"/>
      <c r="B16" s="17"/>
      <c r="C16" s="18">
        <f>J15*I16</f>
        <v>6169.6335497814853</v>
      </c>
      <c r="D16" s="17">
        <v>71400</v>
      </c>
      <c r="E16" s="17">
        <v>13920</v>
      </c>
      <c r="F16" s="19" t="s">
        <v>38</v>
      </c>
      <c r="G16" s="19" t="s">
        <v>41</v>
      </c>
      <c r="H16" s="21" t="s">
        <v>42</v>
      </c>
      <c r="I16" s="64">
        <f>'Cost_sharing_formula Act1&amp;3'!$D$21</f>
        <v>0.1135539167850937</v>
      </c>
      <c r="J16" s="85"/>
      <c r="L16" s="11"/>
    </row>
    <row r="17" spans="1:13" ht="15" x14ac:dyDescent="0.35">
      <c r="A17" s="17"/>
      <c r="B17" s="17"/>
      <c r="C17" s="18">
        <f>J15*I17</f>
        <v>12017.734179936779</v>
      </c>
      <c r="D17" s="17">
        <v>71400</v>
      </c>
      <c r="E17" s="17">
        <v>13920</v>
      </c>
      <c r="F17" s="19" t="s">
        <v>38</v>
      </c>
      <c r="G17" s="19" t="s">
        <v>43</v>
      </c>
      <c r="H17" s="21" t="s">
        <v>44</v>
      </c>
      <c r="I17" s="64">
        <f>'Cost_sharing_formula Act1&amp;3'!$E$21</f>
        <v>0.22118992578777236</v>
      </c>
      <c r="J17" s="63"/>
      <c r="L17" s="11"/>
      <c r="M17" s="11"/>
    </row>
    <row r="18" spans="1:13" ht="15" x14ac:dyDescent="0.35">
      <c r="A18" s="17"/>
      <c r="B18" s="17"/>
      <c r="C18" s="18">
        <f>J15*I18</f>
        <v>6167.8758151513466</v>
      </c>
      <c r="D18" s="17">
        <v>71400</v>
      </c>
      <c r="E18" s="17">
        <v>13920</v>
      </c>
      <c r="F18" s="19" t="s">
        <v>38</v>
      </c>
      <c r="G18" s="19">
        <v>10778</v>
      </c>
      <c r="H18" s="21" t="s">
        <v>45</v>
      </c>
      <c r="I18" s="64">
        <f>'Cost_sharing_formula Act1&amp;3'!$F$21</f>
        <v>0.11352156516318448</v>
      </c>
      <c r="J18" s="63"/>
      <c r="L18" s="11"/>
    </row>
    <row r="19" spans="1:13" ht="15" x14ac:dyDescent="0.35">
      <c r="A19" s="17"/>
      <c r="B19" s="17"/>
      <c r="C19" s="18">
        <f>J15*I19</f>
        <v>3266.6360449254048</v>
      </c>
      <c r="D19" s="17">
        <v>71400</v>
      </c>
      <c r="E19" s="17">
        <v>13920</v>
      </c>
      <c r="F19" s="19" t="s">
        <v>38</v>
      </c>
      <c r="G19" s="19" t="s">
        <v>46</v>
      </c>
      <c r="H19" s="21" t="s">
        <v>47</v>
      </c>
      <c r="I19" s="64">
        <f>'Cost_sharing_formula Act1&amp;3'!$G$21</f>
        <v>6.0123395436635758E-2</v>
      </c>
      <c r="J19" s="63"/>
      <c r="L19" s="11"/>
    </row>
    <row r="20" spans="1:13" ht="15" x14ac:dyDescent="0.35">
      <c r="A20" s="17"/>
      <c r="B20" s="17"/>
      <c r="C20" s="18">
        <f>J15*I20</f>
        <v>1958.0988756373283</v>
      </c>
      <c r="D20" s="17">
        <v>71400</v>
      </c>
      <c r="E20" s="17">
        <v>13920</v>
      </c>
      <c r="F20" s="19" t="s">
        <v>38</v>
      </c>
      <c r="G20" s="19" t="s">
        <v>48</v>
      </c>
      <c r="H20" s="21" t="s">
        <v>49</v>
      </c>
      <c r="I20" s="64">
        <f>'Cost_sharing_formula Act1&amp;3'!$H$21</f>
        <v>3.6039384671230898E-2</v>
      </c>
      <c r="J20" s="63"/>
      <c r="L20" s="11"/>
      <c r="M20" s="11"/>
    </row>
    <row r="21" spans="1:13" ht="15" x14ac:dyDescent="0.35">
      <c r="A21" s="17"/>
      <c r="B21" s="17"/>
      <c r="C21" s="18">
        <f>J15*I21</f>
        <v>1500.9753567824764</v>
      </c>
      <c r="D21" s="17">
        <v>71400</v>
      </c>
      <c r="E21" s="17">
        <v>13920</v>
      </c>
      <c r="F21" s="19" t="s">
        <v>38</v>
      </c>
      <c r="G21" s="19">
        <v>10153</v>
      </c>
      <c r="H21" s="21" t="s">
        <v>50</v>
      </c>
      <c r="I21" s="64">
        <f>'Cost_sharing_formula Act1&amp;3'!$I$21</f>
        <v>2.7625892102877053E-2</v>
      </c>
      <c r="J21" s="63"/>
      <c r="L21" s="11"/>
    </row>
    <row r="22" spans="1:13" ht="15" x14ac:dyDescent="0.35">
      <c r="A22" s="17"/>
      <c r="B22" s="17"/>
      <c r="C22" s="18">
        <f>J15*I22</f>
        <v>1477.0746664133608</v>
      </c>
      <c r="D22" s="17">
        <v>71400</v>
      </c>
      <c r="E22" s="17">
        <v>13920</v>
      </c>
      <c r="F22" s="19" t="s">
        <v>38</v>
      </c>
      <c r="G22" s="19" t="s">
        <v>51</v>
      </c>
      <c r="H22" s="21" t="s">
        <v>52</v>
      </c>
      <c r="I22" s="64">
        <f>'Cost_sharing_formula Act1&amp;3'!$J$21</f>
        <v>2.7185992879789976E-2</v>
      </c>
      <c r="J22" s="63"/>
      <c r="L22" s="11"/>
    </row>
    <row r="23" spans="1:13" ht="15" x14ac:dyDescent="0.35">
      <c r="A23" s="17"/>
      <c r="B23" s="17"/>
      <c r="C23" s="18"/>
      <c r="D23" s="17"/>
      <c r="E23" s="17"/>
      <c r="F23" s="22"/>
      <c r="G23" s="19"/>
      <c r="H23" s="23"/>
      <c r="I23" s="64">
        <f>SUM(I15:I22)</f>
        <v>1</v>
      </c>
      <c r="J23" s="63"/>
      <c r="L23" s="11"/>
    </row>
    <row r="24" spans="1:13" ht="15" x14ac:dyDescent="0.35">
      <c r="A24" s="17"/>
      <c r="B24" s="17"/>
      <c r="C24" s="18"/>
      <c r="D24" s="17"/>
      <c r="E24" s="17"/>
      <c r="F24" s="22"/>
      <c r="G24" s="19"/>
      <c r="H24" s="21"/>
      <c r="I24" s="66"/>
      <c r="J24" s="63"/>
      <c r="L24" s="11"/>
    </row>
    <row r="25" spans="1:13" ht="15" x14ac:dyDescent="0.35">
      <c r="A25" s="17"/>
      <c r="B25" s="17"/>
      <c r="C25" s="18"/>
      <c r="D25" s="17"/>
      <c r="E25" s="17"/>
      <c r="F25" s="22"/>
      <c r="G25" s="19"/>
      <c r="H25" s="21"/>
      <c r="I25" s="66"/>
      <c r="J25" s="63"/>
      <c r="L25" s="11"/>
    </row>
    <row r="26" spans="1:13" ht="30" x14ac:dyDescent="0.35">
      <c r="A26" s="17" t="s">
        <v>53</v>
      </c>
      <c r="B26" s="17" t="s">
        <v>54</v>
      </c>
      <c r="C26" s="18">
        <f>I26*J26</f>
        <v>17795.881826410587</v>
      </c>
      <c r="D26" s="17">
        <v>73100</v>
      </c>
      <c r="E26" s="19">
        <v>11300</v>
      </c>
      <c r="F26" s="19" t="s">
        <v>38</v>
      </c>
      <c r="G26" s="19" t="s">
        <v>39</v>
      </c>
      <c r="H26" s="20" t="s">
        <v>40</v>
      </c>
      <c r="I26" s="64">
        <f>'Cost_sharing_formula Act1&amp;3'!$C$21</f>
        <v>0.4007599271734158</v>
      </c>
      <c r="J26" s="65">
        <f>'Costs for 2015'!D59</f>
        <v>44405.342499999999</v>
      </c>
      <c r="L26" s="11"/>
    </row>
    <row r="27" spans="1:13" ht="15" x14ac:dyDescent="0.35">
      <c r="A27" s="17"/>
      <c r="B27" s="17"/>
      <c r="C27" s="18">
        <f>I27*J26</f>
        <v>5042.4005670585848</v>
      </c>
      <c r="D27" s="17">
        <v>73100</v>
      </c>
      <c r="E27" s="17">
        <v>13920</v>
      </c>
      <c r="F27" s="19" t="s">
        <v>38</v>
      </c>
      <c r="G27" s="19" t="s">
        <v>41</v>
      </c>
      <c r="H27" s="21" t="s">
        <v>42</v>
      </c>
      <c r="I27" s="64">
        <f>'Cost_sharing_formula Act1&amp;3'!$D$21</f>
        <v>0.1135539167850937</v>
      </c>
      <c r="J27" s="63"/>
      <c r="L27" s="11"/>
    </row>
    <row r="28" spans="1:13" ht="15" x14ac:dyDescent="0.35">
      <c r="A28" s="17"/>
      <c r="B28" s="17"/>
      <c r="C28" s="90">
        <f>I28*J26</f>
        <v>9822.0144121556132</v>
      </c>
      <c r="D28" s="17">
        <v>73100</v>
      </c>
      <c r="E28" s="17">
        <v>13920</v>
      </c>
      <c r="F28" s="19" t="s">
        <v>38</v>
      </c>
      <c r="G28" s="19" t="s">
        <v>43</v>
      </c>
      <c r="H28" s="21" t="s">
        <v>44</v>
      </c>
      <c r="I28" s="64">
        <f>'Cost_sharing_formula Act1&amp;3'!$E$21</f>
        <v>0.22118992578777236</v>
      </c>
      <c r="J28" s="88"/>
      <c r="L28" s="11"/>
    </row>
    <row r="29" spans="1:13" ht="15" x14ac:dyDescent="0.35">
      <c r="A29" s="17"/>
      <c r="B29" s="17"/>
      <c r="C29" s="90">
        <f>I29*J26</f>
        <v>5040.963982207275</v>
      </c>
      <c r="D29" s="17">
        <v>73100</v>
      </c>
      <c r="E29" s="17">
        <v>13920</v>
      </c>
      <c r="F29" s="19" t="s">
        <v>38</v>
      </c>
      <c r="G29" s="19">
        <v>10778</v>
      </c>
      <c r="H29" s="21" t="s">
        <v>45</v>
      </c>
      <c r="I29" s="64">
        <f>'Cost_sharing_formula Act1&amp;3'!$F$21</f>
        <v>0.11352156516318448</v>
      </c>
      <c r="J29" s="89"/>
      <c r="L29" s="11"/>
    </row>
    <row r="30" spans="1:13" ht="15" x14ac:dyDescent="0.35">
      <c r="A30" s="17"/>
      <c r="B30" s="17"/>
      <c r="C30" s="18">
        <f>I30*J26</f>
        <v>2669.7999666267478</v>
      </c>
      <c r="D30" s="17">
        <v>73100</v>
      </c>
      <c r="E30" s="17">
        <v>13920</v>
      </c>
      <c r="F30" s="19" t="s">
        <v>38</v>
      </c>
      <c r="G30" s="19" t="s">
        <v>46</v>
      </c>
      <c r="H30" s="21" t="s">
        <v>47</v>
      </c>
      <c r="I30" s="64">
        <f>'Cost_sharing_formula Act1&amp;3'!$G$21</f>
        <v>6.0123395436635758E-2</v>
      </c>
      <c r="J30" s="63"/>
      <c r="L30" s="11"/>
    </row>
    <row r="31" spans="1:13" ht="15" x14ac:dyDescent="0.35">
      <c r="A31" s="17"/>
      <c r="B31" s="17"/>
      <c r="C31" s="18">
        <f>I31*J26</f>
        <v>1600.3412198152578</v>
      </c>
      <c r="D31" s="17">
        <v>73100</v>
      </c>
      <c r="E31" s="17">
        <v>13920</v>
      </c>
      <c r="F31" s="19" t="s">
        <v>38</v>
      </c>
      <c r="G31" s="19" t="s">
        <v>48</v>
      </c>
      <c r="H31" s="21" t="s">
        <v>49</v>
      </c>
      <c r="I31" s="64">
        <f>'Cost_sharing_formula Act1&amp;3'!$H$21</f>
        <v>3.6039384671230898E-2</v>
      </c>
      <c r="J31" s="63"/>
      <c r="L31" s="11"/>
    </row>
    <row r="32" spans="1:13" ht="15" x14ac:dyDescent="0.35">
      <c r="A32" s="17"/>
      <c r="B32" s="17"/>
      <c r="C32" s="18">
        <f>I32*J26</f>
        <v>1226.7372006963008</v>
      </c>
      <c r="D32" s="17">
        <v>73100</v>
      </c>
      <c r="E32" s="17">
        <v>13920</v>
      </c>
      <c r="F32" s="19" t="s">
        <v>38</v>
      </c>
      <c r="G32" s="19">
        <v>10153</v>
      </c>
      <c r="H32" s="21" t="s">
        <v>50</v>
      </c>
      <c r="I32" s="64">
        <f>'Cost_sharing_formula Act1&amp;3'!$I$21</f>
        <v>2.7625892102877053E-2</v>
      </c>
      <c r="J32" s="63"/>
      <c r="L32" s="11"/>
    </row>
    <row r="33" spans="1:12" ht="15" x14ac:dyDescent="0.35">
      <c r="A33" s="17"/>
      <c r="B33" s="17"/>
      <c r="C33" s="18">
        <f>I33*J26</f>
        <v>1207.2033250296352</v>
      </c>
      <c r="D33" s="17">
        <v>73100</v>
      </c>
      <c r="E33" s="17">
        <v>13920</v>
      </c>
      <c r="F33" s="19" t="s">
        <v>38</v>
      </c>
      <c r="G33" s="19" t="s">
        <v>51</v>
      </c>
      <c r="H33" s="21" t="s">
        <v>52</v>
      </c>
      <c r="I33" s="64">
        <f>'Cost_sharing_formula Act1&amp;3'!$J$21</f>
        <v>2.7185992879789976E-2</v>
      </c>
      <c r="J33" s="63"/>
      <c r="L33" s="11"/>
    </row>
    <row r="34" spans="1:12" ht="15" x14ac:dyDescent="0.35">
      <c r="A34" s="17"/>
      <c r="B34" s="17"/>
      <c r="C34" s="18"/>
      <c r="D34" s="17"/>
      <c r="E34" s="17"/>
      <c r="F34" s="22"/>
      <c r="G34" s="19"/>
      <c r="H34" s="23"/>
      <c r="I34" s="64">
        <f>SUM(I26:I33)</f>
        <v>1</v>
      </c>
      <c r="J34" s="63"/>
      <c r="L34" s="11"/>
    </row>
    <row r="35" spans="1:12" ht="15" x14ac:dyDescent="0.35">
      <c r="A35" s="17"/>
      <c r="B35" s="17"/>
      <c r="C35" s="18"/>
      <c r="D35" s="17"/>
      <c r="E35" s="17"/>
      <c r="F35" s="22"/>
      <c r="G35" s="19"/>
      <c r="H35" s="21"/>
      <c r="I35" s="66"/>
      <c r="J35" s="63"/>
      <c r="L35" s="11"/>
    </row>
    <row r="36" spans="1:12" ht="15" x14ac:dyDescent="0.35">
      <c r="A36" s="17"/>
      <c r="B36" s="17"/>
      <c r="C36" s="18"/>
      <c r="D36" s="17"/>
      <c r="E36" s="17"/>
      <c r="F36" s="22"/>
      <c r="G36" s="19"/>
      <c r="H36" s="21"/>
      <c r="I36" s="66"/>
      <c r="J36" s="63"/>
      <c r="L36" s="11"/>
    </row>
    <row r="37" spans="1:12" ht="15" x14ac:dyDescent="0.35">
      <c r="A37" s="17" t="s">
        <v>55</v>
      </c>
      <c r="B37" s="17" t="s">
        <v>56</v>
      </c>
      <c r="C37" s="18">
        <f>I37*J37</f>
        <v>30594.41129929505</v>
      </c>
      <c r="D37" s="17">
        <v>71400</v>
      </c>
      <c r="E37" s="19">
        <v>11300</v>
      </c>
      <c r="F37" s="19" t="s">
        <v>38</v>
      </c>
      <c r="G37" s="19" t="s">
        <v>39</v>
      </c>
      <c r="H37" s="20" t="s">
        <v>40</v>
      </c>
      <c r="I37" s="64">
        <f>'cost-sharing formula Act4'!C21</f>
        <v>0.41208590327001482</v>
      </c>
      <c r="J37" s="65">
        <f>'Costs for 2015'!D60</f>
        <v>74242.799999999988</v>
      </c>
      <c r="L37" s="11"/>
    </row>
    <row r="38" spans="1:12" ht="15" x14ac:dyDescent="0.35">
      <c r="A38" s="17"/>
      <c r="B38" s="17"/>
      <c r="C38" s="90">
        <f>I38*J37+J38</f>
        <v>11199.210087070023</v>
      </c>
      <c r="D38" s="17">
        <v>71400</v>
      </c>
      <c r="E38" s="17">
        <v>13925</v>
      </c>
      <c r="F38" s="19" t="s">
        <v>38</v>
      </c>
      <c r="G38" s="19" t="s">
        <v>41</v>
      </c>
      <c r="H38" s="21" t="s">
        <v>42</v>
      </c>
      <c r="I38" s="64">
        <f>'cost-sharing formula Act4'!D21</f>
        <v>0.11587588408667271</v>
      </c>
      <c r="J38" s="63">
        <f>'Costs for 2015'!D61</f>
        <v>2596.2600000000002</v>
      </c>
      <c r="L38" s="11"/>
    </row>
    <row r="39" spans="1:12" ht="15" x14ac:dyDescent="0.35">
      <c r="A39" s="17"/>
      <c r="B39" s="17"/>
      <c r="C39" s="18">
        <f>I39*J37</f>
        <v>16898.117481402554</v>
      </c>
      <c r="D39" s="17">
        <v>71400</v>
      </c>
      <c r="E39" s="17">
        <v>13925</v>
      </c>
      <c r="F39" s="19" t="s">
        <v>38</v>
      </c>
      <c r="G39" s="19" t="s">
        <v>43</v>
      </c>
      <c r="H39" s="21" t="s">
        <v>44</v>
      </c>
      <c r="I39" s="64">
        <f>'cost-sharing formula Act4'!E21</f>
        <v>0.22760614472248564</v>
      </c>
      <c r="J39" s="63"/>
      <c r="L39" s="11"/>
    </row>
    <row r="40" spans="1:12" ht="15" x14ac:dyDescent="0.35">
      <c r="A40" s="17"/>
      <c r="B40" s="17"/>
      <c r="C40" s="18">
        <f>I40*J37</f>
        <v>8669.3613489994696</v>
      </c>
      <c r="D40" s="17">
        <v>71400</v>
      </c>
      <c r="E40" s="17">
        <v>13925</v>
      </c>
      <c r="F40" s="19" t="s">
        <v>38</v>
      </c>
      <c r="G40" s="19">
        <v>10778</v>
      </c>
      <c r="H40" s="21" t="s">
        <v>45</v>
      </c>
      <c r="I40" s="64">
        <f>'cost-sharing formula Act4'!F21</f>
        <v>0.11677039859756733</v>
      </c>
      <c r="J40" s="63"/>
      <c r="L40" s="11"/>
    </row>
    <row r="41" spans="1:12" ht="15" x14ac:dyDescent="0.35">
      <c r="A41" s="17"/>
      <c r="B41" s="17"/>
      <c r="C41" s="18">
        <f>I41*J37</f>
        <v>4608.4583381188213</v>
      </c>
      <c r="D41" s="17">
        <v>71400</v>
      </c>
      <c r="E41" s="17">
        <v>13925</v>
      </c>
      <c r="F41" s="19" t="s">
        <v>38</v>
      </c>
      <c r="G41" s="19" t="s">
        <v>46</v>
      </c>
      <c r="H41" s="21" t="s">
        <v>47</v>
      </c>
      <c r="I41" s="64">
        <f>'cost-sharing formula Act4'!G21</f>
        <v>6.2072798144989436E-2</v>
      </c>
      <c r="J41" s="63"/>
      <c r="L41" s="11"/>
    </row>
    <row r="42" spans="1:12" ht="15" x14ac:dyDescent="0.35">
      <c r="A42" s="17"/>
      <c r="B42" s="17"/>
      <c r="C42" s="18">
        <f>I42*J37</f>
        <v>2781.7435346433149</v>
      </c>
      <c r="D42" s="17">
        <v>71400</v>
      </c>
      <c r="E42" s="17">
        <v>13925</v>
      </c>
      <c r="F42" s="19" t="s">
        <v>38</v>
      </c>
      <c r="G42" s="19" t="s">
        <v>48</v>
      </c>
      <c r="H42" s="21" t="s">
        <v>49</v>
      </c>
      <c r="I42" s="64">
        <f>'cost-sharing formula Act4'!H21</f>
        <v>3.7468192668424619E-2</v>
      </c>
      <c r="J42" s="63"/>
      <c r="L42" s="11"/>
    </row>
    <row r="43" spans="1:12" ht="15" hidden="1" x14ac:dyDescent="0.35">
      <c r="A43" s="17"/>
      <c r="B43" s="17"/>
      <c r="C43" s="18">
        <f>I43*J37</f>
        <v>0</v>
      </c>
      <c r="D43" s="17">
        <v>71400</v>
      </c>
      <c r="E43" s="17">
        <v>13925</v>
      </c>
      <c r="F43" s="19" t="s">
        <v>38</v>
      </c>
      <c r="G43" s="19">
        <v>10153</v>
      </c>
      <c r="H43" s="21" t="s">
        <v>50</v>
      </c>
      <c r="I43" s="64">
        <f>'cost-sharing formula Act4'!I21</f>
        <v>0</v>
      </c>
      <c r="J43" s="63"/>
      <c r="L43" s="11"/>
    </row>
    <row r="44" spans="1:12" ht="15" x14ac:dyDescent="0.35">
      <c r="A44" s="17"/>
      <c r="B44" s="17"/>
      <c r="C44" s="18">
        <f>I44*J37</f>
        <v>2087.757910470752</v>
      </c>
      <c r="D44" s="17">
        <v>71400</v>
      </c>
      <c r="E44" s="17">
        <v>13925</v>
      </c>
      <c r="F44" s="19" t="s">
        <v>38</v>
      </c>
      <c r="G44" s="19" t="s">
        <v>51</v>
      </c>
      <c r="H44" s="21" t="s">
        <v>52</v>
      </c>
      <c r="I44" s="64">
        <f>'cost-sharing formula Act4'!J21</f>
        <v>2.8120678509845429E-2</v>
      </c>
      <c r="J44" s="63"/>
      <c r="L44" s="11"/>
    </row>
    <row r="45" spans="1:12" ht="15" x14ac:dyDescent="0.35">
      <c r="A45" s="17"/>
      <c r="B45" s="310"/>
      <c r="C45" s="311"/>
      <c r="D45" s="17"/>
      <c r="E45" s="17"/>
      <c r="F45" s="22"/>
      <c r="G45" s="19"/>
      <c r="H45" s="23"/>
      <c r="I45" s="64">
        <f>SUM(I37:I44)</f>
        <v>1</v>
      </c>
      <c r="J45" s="63"/>
    </row>
    <row r="46" spans="1:12" ht="15" x14ac:dyDescent="0.35">
      <c r="A46" s="17"/>
      <c r="B46" s="17"/>
      <c r="C46" s="18"/>
      <c r="D46" s="17"/>
      <c r="E46" s="17"/>
      <c r="F46" s="22"/>
      <c r="G46" s="19"/>
      <c r="H46" s="25"/>
      <c r="I46" s="24"/>
      <c r="J46" s="11"/>
    </row>
    <row r="47" spans="1:12" ht="30" x14ac:dyDescent="0.35">
      <c r="A47" s="276" t="s">
        <v>214</v>
      </c>
      <c r="B47" s="277" t="s">
        <v>215</v>
      </c>
      <c r="C47" s="278">
        <f>I47*J47</f>
        <v>0</v>
      </c>
      <c r="D47" s="277">
        <v>73120</v>
      </c>
      <c r="E47" s="279">
        <v>11300</v>
      </c>
      <c r="F47" s="279" t="s">
        <v>38</v>
      </c>
      <c r="G47" s="279" t="s">
        <v>39</v>
      </c>
      <c r="H47" s="280" t="s">
        <v>40</v>
      </c>
      <c r="I47" s="64">
        <v>0</v>
      </c>
      <c r="J47" s="65"/>
      <c r="K47" s="281"/>
    </row>
    <row r="48" spans="1:12" ht="15" customHeight="1" x14ac:dyDescent="0.35">
      <c r="A48" s="282"/>
      <c r="B48" s="282"/>
      <c r="C48" s="283">
        <f>I48*J47</f>
        <v>0</v>
      </c>
      <c r="D48" s="282">
        <v>73120</v>
      </c>
      <c r="E48" s="282">
        <v>13920</v>
      </c>
      <c r="F48" s="284" t="s">
        <v>38</v>
      </c>
      <c r="G48" s="284" t="s">
        <v>41</v>
      </c>
      <c r="H48" s="21" t="s">
        <v>42</v>
      </c>
      <c r="I48" s="64">
        <v>0</v>
      </c>
      <c r="J48" s="285"/>
      <c r="K48" s="286"/>
    </row>
    <row r="49" spans="1:11" ht="15" x14ac:dyDescent="0.35">
      <c r="A49" s="17"/>
      <c r="B49" s="17"/>
      <c r="C49" s="18">
        <f>I49*J47</f>
        <v>0</v>
      </c>
      <c r="D49" s="17">
        <v>73120</v>
      </c>
      <c r="E49" s="282">
        <v>13920</v>
      </c>
      <c r="F49" s="19" t="s">
        <v>38</v>
      </c>
      <c r="G49" s="19" t="s">
        <v>43</v>
      </c>
      <c r="H49" s="21" t="s">
        <v>44</v>
      </c>
      <c r="I49" s="64">
        <v>0</v>
      </c>
      <c r="J49" s="63"/>
      <c r="K49" s="286"/>
    </row>
    <row r="50" spans="1:11" ht="15" x14ac:dyDescent="0.35">
      <c r="A50" s="17"/>
      <c r="B50" s="17"/>
      <c r="C50" s="18">
        <f>I50*J47</f>
        <v>0</v>
      </c>
      <c r="D50" s="17">
        <v>73120</v>
      </c>
      <c r="E50" s="282">
        <v>13920</v>
      </c>
      <c r="F50" s="19" t="s">
        <v>38</v>
      </c>
      <c r="G50" s="19">
        <v>10778</v>
      </c>
      <c r="H50" s="21" t="s">
        <v>45</v>
      </c>
      <c r="I50" s="64">
        <v>0</v>
      </c>
      <c r="J50" s="63"/>
      <c r="K50" s="286"/>
    </row>
    <row r="51" spans="1:11" ht="15" x14ac:dyDescent="0.35">
      <c r="A51" s="17"/>
      <c r="B51" s="17"/>
      <c r="C51" s="18">
        <f>I51*J47</f>
        <v>0</v>
      </c>
      <c r="D51" s="17">
        <v>73120</v>
      </c>
      <c r="E51" s="282">
        <v>13920</v>
      </c>
      <c r="F51" s="19" t="s">
        <v>38</v>
      </c>
      <c r="G51" s="19" t="s">
        <v>46</v>
      </c>
      <c r="H51" s="21" t="s">
        <v>47</v>
      </c>
      <c r="I51" s="64">
        <v>0</v>
      </c>
      <c r="J51" s="63"/>
      <c r="K51" s="286"/>
    </row>
    <row r="52" spans="1:11" ht="15" x14ac:dyDescent="0.35">
      <c r="A52" s="17"/>
      <c r="B52" s="17"/>
      <c r="C52" s="18">
        <f>I52*J47</f>
        <v>0</v>
      </c>
      <c r="D52" s="17">
        <v>73120</v>
      </c>
      <c r="E52" s="282">
        <v>13920</v>
      </c>
      <c r="F52" s="19" t="s">
        <v>38</v>
      </c>
      <c r="G52" s="19" t="s">
        <v>48</v>
      </c>
      <c r="H52" s="21" t="s">
        <v>49</v>
      </c>
      <c r="I52" s="64">
        <v>0</v>
      </c>
      <c r="J52" s="63"/>
      <c r="K52" s="286"/>
    </row>
    <row r="53" spans="1:11" ht="15" x14ac:dyDescent="0.35">
      <c r="A53" s="17"/>
      <c r="B53" s="17"/>
      <c r="C53" s="18">
        <f>I53*J47</f>
        <v>0</v>
      </c>
      <c r="D53" s="17">
        <v>73120</v>
      </c>
      <c r="E53" s="282">
        <v>13920</v>
      </c>
      <c r="F53" s="19" t="s">
        <v>38</v>
      </c>
      <c r="G53" s="19">
        <v>10153</v>
      </c>
      <c r="H53" s="21" t="s">
        <v>50</v>
      </c>
      <c r="I53" s="64">
        <v>0</v>
      </c>
      <c r="J53" s="63"/>
      <c r="K53" s="286"/>
    </row>
    <row r="54" spans="1:11" ht="15" x14ac:dyDescent="0.35">
      <c r="A54" s="17"/>
      <c r="B54" s="17"/>
      <c r="C54" s="18">
        <f>I54*J47</f>
        <v>0</v>
      </c>
      <c r="D54" s="17">
        <v>73120</v>
      </c>
      <c r="E54" s="282">
        <v>13920</v>
      </c>
      <c r="F54" s="19" t="s">
        <v>38</v>
      </c>
      <c r="G54" s="19" t="s">
        <v>51</v>
      </c>
      <c r="H54" s="21" t="s">
        <v>52</v>
      </c>
      <c r="I54" s="64">
        <v>0</v>
      </c>
      <c r="J54" s="63"/>
      <c r="K54" s="286"/>
    </row>
    <row r="55" spans="1:11" ht="15" x14ac:dyDescent="0.35">
      <c r="A55" s="17"/>
      <c r="B55" s="17"/>
      <c r="C55" s="18"/>
      <c r="D55" s="17"/>
      <c r="E55" s="17"/>
      <c r="F55" s="22"/>
      <c r="G55" s="19"/>
      <c r="H55" s="23"/>
      <c r="I55" s="64">
        <v>0</v>
      </c>
      <c r="J55" s="63"/>
      <c r="K55" s="286"/>
    </row>
    <row r="56" spans="1:11" ht="15" x14ac:dyDescent="0.35">
      <c r="A56" s="17"/>
      <c r="B56" s="17"/>
      <c r="C56" s="18"/>
      <c r="D56" s="17"/>
      <c r="E56" s="17"/>
      <c r="F56" s="22"/>
      <c r="G56" s="19"/>
      <c r="H56" s="25"/>
      <c r="I56" s="24"/>
      <c r="J56" s="11"/>
      <c r="K56" s="11"/>
    </row>
    <row r="57" spans="1:11" x14ac:dyDescent="0.25">
      <c r="C57" s="8"/>
      <c r="F57" s="9"/>
      <c r="I57" s="10"/>
      <c r="J57" s="11"/>
    </row>
    <row r="58" spans="1:11" x14ac:dyDescent="0.25">
      <c r="B58" t="s">
        <v>57</v>
      </c>
      <c r="C58" s="58">
        <f>SUM(C5:C57)</f>
        <v>206359.4375</v>
      </c>
      <c r="F58" s="9"/>
      <c r="I58" s="10"/>
      <c r="J58" s="59">
        <f>J5+J15+J26+J37+J38</f>
        <v>206359.4375</v>
      </c>
    </row>
    <row r="59" spans="1:11" ht="13.8" thickBot="1" x14ac:dyDescent="0.3">
      <c r="C59" s="58"/>
      <c r="F59" s="9"/>
      <c r="I59" s="10"/>
      <c r="J59" s="59"/>
    </row>
    <row r="60" spans="1:11" ht="30.75" customHeight="1" x14ac:dyDescent="0.25">
      <c r="A60" s="249" t="s">
        <v>198</v>
      </c>
      <c r="B60" s="250" t="s">
        <v>199</v>
      </c>
      <c r="C60" s="320" t="s">
        <v>201</v>
      </c>
      <c r="D60" s="320"/>
      <c r="E60" s="320" t="s">
        <v>202</v>
      </c>
      <c r="F60" s="321"/>
      <c r="I60" s="312" t="s">
        <v>239</v>
      </c>
      <c r="J60" s="313">
        <v>11300</v>
      </c>
      <c r="K60" s="312">
        <f>C5+C15+C26+C37</f>
        <v>82500.988353668377</v>
      </c>
    </row>
    <row r="61" spans="1:11" ht="35.1" customHeight="1" x14ac:dyDescent="0.35">
      <c r="A61" s="247" t="s">
        <v>40</v>
      </c>
      <c r="B61" s="246">
        <f t="shared" ref="B61:B68" si="0">C5+C15+C26+C37</f>
        <v>82500.988353668377</v>
      </c>
      <c r="C61" s="317"/>
      <c r="D61" s="317"/>
      <c r="E61" s="322"/>
      <c r="F61" s="323"/>
      <c r="H61" s="243"/>
      <c r="I61" s="312"/>
      <c r="J61" s="313">
        <v>13920</v>
      </c>
      <c r="K61" s="312">
        <f>C13+C23+C34</f>
        <v>0</v>
      </c>
    </row>
    <row r="62" spans="1:11" ht="35.1" customHeight="1" x14ac:dyDescent="0.35">
      <c r="A62" s="248" t="s">
        <v>42</v>
      </c>
      <c r="B62" s="246">
        <f t="shared" si="0"/>
        <v>25906.756255678949</v>
      </c>
      <c r="C62" s="317"/>
      <c r="D62" s="317"/>
      <c r="E62" s="314"/>
      <c r="F62" s="315"/>
      <c r="H62" s="243"/>
      <c r="I62" s="312"/>
      <c r="J62" s="313">
        <v>13925</v>
      </c>
      <c r="K62" s="312">
        <f>C45</f>
        <v>0</v>
      </c>
    </row>
    <row r="63" spans="1:11" ht="35.1" customHeight="1" x14ac:dyDescent="0.35">
      <c r="A63" s="248" t="s">
        <v>44</v>
      </c>
      <c r="B63" s="246">
        <f t="shared" si="0"/>
        <v>45546.720168631815</v>
      </c>
      <c r="C63" s="317"/>
      <c r="D63" s="317"/>
      <c r="E63" s="314"/>
      <c r="F63" s="315"/>
      <c r="H63" s="243"/>
      <c r="I63" s="312"/>
      <c r="J63" s="313"/>
      <c r="K63" s="312">
        <f>SUM(K60:K62)</f>
        <v>82500.988353668377</v>
      </c>
    </row>
    <row r="64" spans="1:11" ht="35.1" customHeight="1" x14ac:dyDescent="0.35">
      <c r="A64" s="248" t="s">
        <v>45</v>
      </c>
      <c r="B64" s="246">
        <f t="shared" si="0"/>
        <v>23372.717323325975</v>
      </c>
      <c r="C64" s="317"/>
      <c r="D64" s="317"/>
      <c r="E64" s="314"/>
      <c r="F64" s="315"/>
      <c r="H64" s="243"/>
      <c r="I64" s="6"/>
    </row>
    <row r="65" spans="1:9" ht="35.1" customHeight="1" x14ac:dyDescent="0.35">
      <c r="A65" s="248" t="s">
        <v>47</v>
      </c>
      <c r="B65" s="246">
        <f t="shared" si="0"/>
        <v>12395.663211653664</v>
      </c>
      <c r="C65" s="317"/>
      <c r="D65" s="317"/>
      <c r="E65" s="314"/>
      <c r="F65" s="315"/>
      <c r="H65" s="243"/>
      <c r="I65" s="6"/>
    </row>
    <row r="66" spans="1:9" ht="35.1" customHeight="1" x14ac:dyDescent="0.35">
      <c r="A66" s="248" t="s">
        <v>49</v>
      </c>
      <c r="B66" s="246">
        <f t="shared" si="0"/>
        <v>7449.5782421288541</v>
      </c>
      <c r="C66" s="317"/>
      <c r="D66" s="317"/>
      <c r="E66" s="314"/>
      <c r="F66" s="315"/>
      <c r="H66" s="243"/>
      <c r="I66" s="6"/>
    </row>
    <row r="67" spans="1:9" ht="35.1" customHeight="1" x14ac:dyDescent="0.35">
      <c r="A67" s="248" t="s">
        <v>50</v>
      </c>
      <c r="B67" s="246">
        <f t="shared" si="0"/>
        <v>3578.115973938905</v>
      </c>
      <c r="C67" s="317"/>
      <c r="D67" s="317"/>
      <c r="E67" s="314"/>
      <c r="F67" s="315"/>
      <c r="H67" s="243"/>
      <c r="I67" s="6"/>
    </row>
    <row r="68" spans="1:9" ht="35.1" customHeight="1" x14ac:dyDescent="0.35">
      <c r="A68" s="248" t="s">
        <v>52</v>
      </c>
      <c r="B68" s="246">
        <f t="shared" si="0"/>
        <v>5608.8979709734622</v>
      </c>
      <c r="C68" s="317"/>
      <c r="D68" s="317"/>
      <c r="E68" s="314"/>
      <c r="F68" s="315"/>
      <c r="H68" s="243"/>
      <c r="I68" s="6"/>
    </row>
    <row r="69" spans="1:9" ht="35.1" customHeight="1" thickBot="1" x14ac:dyDescent="0.4">
      <c r="A69" s="245" t="s">
        <v>200</v>
      </c>
      <c r="B69" s="244">
        <f>SUM(B61:B68)</f>
        <v>206359.43749999997</v>
      </c>
      <c r="C69" s="316"/>
      <c r="D69" s="316"/>
      <c r="E69" s="318"/>
      <c r="F69" s="319"/>
      <c r="H69" s="243"/>
      <c r="I69" s="6"/>
    </row>
    <row r="70" spans="1:9" x14ac:dyDescent="0.25">
      <c r="C70" s="91"/>
      <c r="D70" s="91"/>
      <c r="H70" s="91"/>
    </row>
    <row r="71" spans="1:9" ht="9.75" customHeight="1" x14ac:dyDescent="0.25"/>
    <row r="72" spans="1:9" ht="30.75" customHeight="1" x14ac:dyDescent="0.25"/>
  </sheetData>
  <mergeCells count="20">
    <mergeCell ref="E60:F60"/>
    <mergeCell ref="E61:F61"/>
    <mergeCell ref="E62:F62"/>
    <mergeCell ref="E63:F63"/>
    <mergeCell ref="C65:D65"/>
    <mergeCell ref="C60:D60"/>
    <mergeCell ref="C61:D61"/>
    <mergeCell ref="C62:D62"/>
    <mergeCell ref="C63:D63"/>
    <mergeCell ref="C64:D64"/>
    <mergeCell ref="E64:F64"/>
    <mergeCell ref="E65:F65"/>
    <mergeCell ref="E66:F66"/>
    <mergeCell ref="E67:F67"/>
    <mergeCell ref="C69:D69"/>
    <mergeCell ref="C66:D66"/>
    <mergeCell ref="C67:D67"/>
    <mergeCell ref="C68:D68"/>
    <mergeCell ref="E68:F68"/>
    <mergeCell ref="E69:F69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7"/>
  <sheetViews>
    <sheetView zoomScale="80" zoomScaleNormal="80" zoomScaleSheetLayoutView="90" workbookViewId="0">
      <selection activeCell="B66" sqref="B66"/>
    </sheetView>
  </sheetViews>
  <sheetFormatPr defaultColWidth="9.109375" defaultRowHeight="15.6" x14ac:dyDescent="0.3"/>
  <cols>
    <col min="1" max="1" width="11" style="101" customWidth="1"/>
    <col min="2" max="2" width="39.33203125" style="101" customWidth="1"/>
    <col min="3" max="3" width="15" style="101" customWidth="1"/>
    <col min="4" max="4" width="18.5546875" style="101" customWidth="1"/>
    <col min="5" max="5" width="19.6640625" style="101" customWidth="1"/>
    <col min="6" max="6" width="46.33203125" style="101" customWidth="1"/>
    <col min="7" max="7" width="8" style="101" hidden="1" customWidth="1"/>
    <col min="8" max="9" width="9.109375" style="101" hidden="1" customWidth="1"/>
    <col min="10" max="10" width="11.5546875" style="101" hidden="1" customWidth="1"/>
    <col min="11" max="11" width="22.88671875" style="101" customWidth="1"/>
    <col min="12" max="16384" width="9.109375" style="101"/>
  </cols>
  <sheetData>
    <row r="1" spans="1:235" ht="17.399999999999999" x14ac:dyDescent="0.3">
      <c r="B1" s="221" t="s">
        <v>237</v>
      </c>
      <c r="G1" s="103"/>
      <c r="H1" s="103"/>
      <c r="I1" s="103"/>
      <c r="J1" s="103"/>
    </row>
    <row r="2" spans="1:235" ht="7.5" customHeight="1" x14ac:dyDescent="0.3">
      <c r="B2" s="102"/>
      <c r="G2" s="103"/>
      <c r="H2" s="103"/>
      <c r="I2" s="103"/>
      <c r="J2" s="103"/>
    </row>
    <row r="3" spans="1:235" x14ac:dyDescent="0.3">
      <c r="A3" s="207" t="s">
        <v>158</v>
      </c>
      <c r="B3" s="104" t="s">
        <v>0</v>
      </c>
      <c r="C3" s="105" t="s">
        <v>101</v>
      </c>
      <c r="D3" s="106" t="s">
        <v>2</v>
      </c>
      <c r="E3" s="105" t="s">
        <v>151</v>
      </c>
      <c r="F3" s="105" t="s">
        <v>3</v>
      </c>
      <c r="G3" s="107"/>
      <c r="H3" s="108"/>
      <c r="I3" s="103"/>
      <c r="J3" s="103"/>
    </row>
    <row r="4" spans="1:235" x14ac:dyDescent="0.3">
      <c r="B4" s="109" t="s">
        <v>117</v>
      </c>
      <c r="C4" s="110" t="s">
        <v>102</v>
      </c>
      <c r="D4" s="111">
        <v>574</v>
      </c>
      <c r="E4" s="112">
        <f>D4+8.88+51.5+6.6+D4*7%</f>
        <v>681.16000000000008</v>
      </c>
      <c r="F4" s="111">
        <f>E4*12</f>
        <v>8173.920000000001</v>
      </c>
      <c r="G4" s="101">
        <v>461</v>
      </c>
      <c r="H4" s="113">
        <f>G4*4%</f>
        <v>18.440000000000001</v>
      </c>
      <c r="I4" s="114">
        <f>G4+H4</f>
        <v>479.44</v>
      </c>
      <c r="J4" s="115" t="s">
        <v>102</v>
      </c>
    </row>
    <row r="5" spans="1:235" s="108" customFormat="1" x14ac:dyDescent="0.3">
      <c r="A5" s="103"/>
      <c r="B5" s="116" t="s">
        <v>118</v>
      </c>
      <c r="C5" s="110" t="s">
        <v>103</v>
      </c>
      <c r="D5" s="117">
        <v>484</v>
      </c>
      <c r="E5" s="112">
        <f>D5+8.88+51.5+6.6+D5*7%</f>
        <v>584.86</v>
      </c>
      <c r="F5" s="117">
        <f>E5*12</f>
        <v>7018.32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</row>
    <row r="6" spans="1:235" s="108" customFormat="1" x14ac:dyDescent="0.3">
      <c r="A6" s="103"/>
      <c r="B6" s="116" t="s">
        <v>119</v>
      </c>
      <c r="C6" s="110" t="s">
        <v>103</v>
      </c>
      <c r="D6" s="117">
        <v>484</v>
      </c>
      <c r="E6" s="112">
        <f t="shared" ref="E6:E13" si="0">D6+8.88+51.5+6.6+D6*7%</f>
        <v>584.86</v>
      </c>
      <c r="F6" s="117">
        <f t="shared" ref="F6:F13" si="1">E6*12</f>
        <v>7018.32</v>
      </c>
      <c r="G6" s="103">
        <v>426</v>
      </c>
      <c r="H6" s="119">
        <f t="shared" ref="H6:H13" si="2">G6*4%</f>
        <v>17.04</v>
      </c>
      <c r="I6" s="119">
        <f t="shared" ref="I6:I13" si="3">G6+H6</f>
        <v>443.04</v>
      </c>
      <c r="J6" s="120" t="s">
        <v>103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</row>
    <row r="7" spans="1:235" s="108" customFormat="1" x14ac:dyDescent="0.3">
      <c r="A7" s="103"/>
      <c r="B7" s="116" t="s">
        <v>120</v>
      </c>
      <c r="C7" s="110" t="s">
        <v>103</v>
      </c>
      <c r="D7" s="117">
        <v>484</v>
      </c>
      <c r="E7" s="112">
        <f t="shared" si="0"/>
        <v>584.86</v>
      </c>
      <c r="F7" s="117">
        <f t="shared" si="1"/>
        <v>7018.32</v>
      </c>
      <c r="G7" s="103">
        <v>365</v>
      </c>
      <c r="H7" s="119">
        <f t="shared" si="2"/>
        <v>14.6</v>
      </c>
      <c r="I7" s="119">
        <f t="shared" si="3"/>
        <v>379.6</v>
      </c>
      <c r="J7" s="120" t="s">
        <v>103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</row>
    <row r="8" spans="1:235" s="108" customFormat="1" x14ac:dyDescent="0.3">
      <c r="A8" s="103"/>
      <c r="B8" s="116" t="s">
        <v>104</v>
      </c>
      <c r="C8" s="110" t="s">
        <v>103</v>
      </c>
      <c r="D8" s="117">
        <v>484</v>
      </c>
      <c r="E8" s="112">
        <f t="shared" si="0"/>
        <v>584.86</v>
      </c>
      <c r="F8" s="117">
        <f t="shared" si="1"/>
        <v>7018.32</v>
      </c>
      <c r="G8" s="103">
        <v>410</v>
      </c>
      <c r="H8" s="119">
        <f t="shared" si="2"/>
        <v>16.399999999999999</v>
      </c>
      <c r="I8" s="119">
        <f t="shared" si="3"/>
        <v>426.4</v>
      </c>
      <c r="J8" s="120" t="s">
        <v>103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</row>
    <row r="9" spans="1:235" x14ac:dyDescent="0.3">
      <c r="B9" s="109" t="s">
        <v>105</v>
      </c>
      <c r="C9" s="110" t="s">
        <v>103</v>
      </c>
      <c r="D9" s="117">
        <v>484</v>
      </c>
      <c r="E9" s="112">
        <f t="shared" si="0"/>
        <v>584.86</v>
      </c>
      <c r="F9" s="111">
        <f t="shared" si="1"/>
        <v>7018.32</v>
      </c>
      <c r="G9" s="101">
        <v>410</v>
      </c>
      <c r="H9" s="113">
        <f t="shared" si="2"/>
        <v>16.399999999999999</v>
      </c>
      <c r="I9" s="114">
        <f t="shared" si="3"/>
        <v>426.4</v>
      </c>
      <c r="J9" s="115" t="s">
        <v>103</v>
      </c>
    </row>
    <row r="10" spans="1:235" x14ac:dyDescent="0.3">
      <c r="B10" s="109" t="s">
        <v>121</v>
      </c>
      <c r="C10" s="110" t="s">
        <v>103</v>
      </c>
      <c r="D10" s="117">
        <v>484</v>
      </c>
      <c r="E10" s="112">
        <f t="shared" si="0"/>
        <v>584.86</v>
      </c>
      <c r="F10" s="111">
        <f t="shared" si="1"/>
        <v>7018.32</v>
      </c>
      <c r="G10" s="101">
        <v>324</v>
      </c>
      <c r="H10" s="113">
        <f t="shared" si="2"/>
        <v>12.96</v>
      </c>
      <c r="I10" s="114">
        <f t="shared" si="3"/>
        <v>336.96</v>
      </c>
      <c r="J10" s="115" t="s">
        <v>103</v>
      </c>
    </row>
    <row r="11" spans="1:235" x14ac:dyDescent="0.3">
      <c r="B11" s="109" t="s">
        <v>122</v>
      </c>
      <c r="C11" s="110" t="s">
        <v>103</v>
      </c>
      <c r="D11" s="117">
        <v>484</v>
      </c>
      <c r="E11" s="112">
        <f t="shared" si="0"/>
        <v>584.86</v>
      </c>
      <c r="F11" s="111">
        <f t="shared" si="1"/>
        <v>7018.32</v>
      </c>
      <c r="G11" s="101">
        <v>350</v>
      </c>
      <c r="H11" s="113">
        <f t="shared" si="2"/>
        <v>14</v>
      </c>
      <c r="I11" s="114">
        <f t="shared" si="3"/>
        <v>364</v>
      </c>
      <c r="J11" s="115" t="s">
        <v>103</v>
      </c>
      <c r="K11" s="127"/>
    </row>
    <row r="12" spans="1:235" x14ac:dyDescent="0.3">
      <c r="B12" s="109" t="s">
        <v>123</v>
      </c>
      <c r="C12" s="110" t="s">
        <v>103</v>
      </c>
      <c r="D12" s="117">
        <v>484</v>
      </c>
      <c r="E12" s="112">
        <f t="shared" si="0"/>
        <v>584.86</v>
      </c>
      <c r="F12" s="111">
        <f t="shared" si="1"/>
        <v>7018.32</v>
      </c>
      <c r="G12" s="101">
        <v>365</v>
      </c>
      <c r="H12" s="113">
        <f t="shared" si="2"/>
        <v>14.6</v>
      </c>
      <c r="I12" s="114">
        <f t="shared" si="3"/>
        <v>379.6</v>
      </c>
      <c r="J12" s="115" t="s">
        <v>103</v>
      </c>
    </row>
    <row r="13" spans="1:235" x14ac:dyDescent="0.3">
      <c r="B13" s="109" t="s">
        <v>149</v>
      </c>
      <c r="C13" s="110" t="s">
        <v>103</v>
      </c>
      <c r="D13" s="117">
        <v>484</v>
      </c>
      <c r="E13" s="112">
        <f t="shared" si="0"/>
        <v>584.86</v>
      </c>
      <c r="F13" s="111">
        <f t="shared" si="1"/>
        <v>7018.32</v>
      </c>
      <c r="G13" s="101">
        <v>324</v>
      </c>
      <c r="H13" s="113">
        <f t="shared" si="2"/>
        <v>12.96</v>
      </c>
      <c r="I13" s="114">
        <f t="shared" si="3"/>
        <v>336.96</v>
      </c>
      <c r="J13" s="115" t="s">
        <v>103</v>
      </c>
    </row>
    <row r="14" spans="1:235" x14ac:dyDescent="0.3">
      <c r="B14" s="109" t="s">
        <v>113</v>
      </c>
      <c r="C14" s="121"/>
      <c r="D14" s="122"/>
      <c r="E14" s="112"/>
      <c r="F14" s="123">
        <v>2596.2600000000002</v>
      </c>
    </row>
    <row r="15" spans="1:235" x14ac:dyDescent="0.3">
      <c r="B15" s="124" t="s">
        <v>12</v>
      </c>
      <c r="C15" s="125"/>
      <c r="D15" s="126">
        <f>SUM(D4:D13)</f>
        <v>4930</v>
      </c>
      <c r="E15" s="126">
        <f>SUM(E4:E13)</f>
        <v>5944.9</v>
      </c>
      <c r="F15" s="126">
        <f>SUM(F4:F14)</f>
        <v>73935.059999999983</v>
      </c>
      <c r="G15" s="101">
        <v>151</v>
      </c>
      <c r="J15" s="115"/>
    </row>
    <row r="16" spans="1:235" x14ac:dyDescent="0.3">
      <c r="F16" s="224"/>
      <c r="G16" s="128"/>
      <c r="H16" s="129"/>
      <c r="I16" s="128"/>
      <c r="J16" s="128"/>
    </row>
    <row r="17" spans="1:235" x14ac:dyDescent="0.3">
      <c r="A17" s="207" t="s">
        <v>24</v>
      </c>
      <c r="B17" s="104" t="s">
        <v>13</v>
      </c>
      <c r="C17" s="105" t="s">
        <v>1</v>
      </c>
      <c r="D17" s="105" t="s">
        <v>150</v>
      </c>
      <c r="E17" s="105" t="s">
        <v>141</v>
      </c>
      <c r="F17" s="105" t="s">
        <v>3</v>
      </c>
      <c r="G17" s="128"/>
      <c r="H17" s="129"/>
      <c r="I17" s="128"/>
      <c r="J17" s="128"/>
    </row>
    <row r="18" spans="1:235" s="108" customFormat="1" ht="18.75" customHeight="1" x14ac:dyDescent="0.3">
      <c r="A18" s="103"/>
      <c r="B18" s="116" t="s">
        <v>142</v>
      </c>
      <c r="C18" s="130">
        <v>1</v>
      </c>
      <c r="D18" s="111">
        <v>1807.75</v>
      </c>
      <c r="E18" s="112">
        <f>1807.75+105+176.31*2+131.06+76.07*2</f>
        <v>2548.5699999999997</v>
      </c>
      <c r="F18" s="117">
        <f>E18*12+200</f>
        <v>30782.839999999997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</row>
    <row r="19" spans="1:235" s="108" customFormat="1" x14ac:dyDescent="0.3">
      <c r="A19" s="103"/>
      <c r="B19" s="116" t="s">
        <v>143</v>
      </c>
      <c r="C19" s="130">
        <v>1</v>
      </c>
      <c r="D19" s="112">
        <v>432.75</v>
      </c>
      <c r="E19" s="112">
        <f>D19+8.88+51.5+6.6+D19*7%</f>
        <v>530.02250000000004</v>
      </c>
      <c r="F19" s="117">
        <f t="shared" ref="F19:F25" si="4">E19*12</f>
        <v>6360.27</v>
      </c>
      <c r="G19" s="103"/>
      <c r="H19" s="103"/>
      <c r="I19" s="103"/>
      <c r="J19" s="118">
        <f>E19*2</f>
        <v>1060.0450000000001</v>
      </c>
      <c r="K19" s="118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</row>
    <row r="20" spans="1:235" s="108" customFormat="1" x14ac:dyDescent="0.3">
      <c r="A20" s="103"/>
      <c r="B20" s="116" t="s">
        <v>147</v>
      </c>
      <c r="C20" s="130">
        <v>1</v>
      </c>
      <c r="D20" s="112">
        <v>432.75</v>
      </c>
      <c r="E20" s="112">
        <f t="shared" ref="E20:E26" si="5">D20+8.88+51.5+6.6+D20*7%</f>
        <v>530.02250000000004</v>
      </c>
      <c r="F20" s="117">
        <f t="shared" si="4"/>
        <v>6360.27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</row>
    <row r="21" spans="1:235" x14ac:dyDescent="0.3">
      <c r="B21" s="109" t="s">
        <v>124</v>
      </c>
      <c r="C21" s="130" t="s">
        <v>110</v>
      </c>
      <c r="D21" s="112">
        <v>710</v>
      </c>
      <c r="E21" s="112">
        <f t="shared" si="5"/>
        <v>826.68000000000006</v>
      </c>
      <c r="F21" s="111">
        <f t="shared" si="4"/>
        <v>9920.16</v>
      </c>
      <c r="G21" s="131">
        <v>599</v>
      </c>
      <c r="H21" s="132"/>
      <c r="I21" s="128"/>
      <c r="J21" s="128"/>
    </row>
    <row r="22" spans="1:235" ht="21" x14ac:dyDescent="0.4">
      <c r="B22" s="109" t="s">
        <v>106</v>
      </c>
      <c r="C22" s="130" t="s">
        <v>107</v>
      </c>
      <c r="D22" s="112">
        <v>391</v>
      </c>
      <c r="E22" s="112">
        <f t="shared" si="5"/>
        <v>485.35</v>
      </c>
      <c r="F22" s="111">
        <f t="shared" si="4"/>
        <v>5824.2000000000007</v>
      </c>
      <c r="G22" s="131">
        <v>391</v>
      </c>
      <c r="H22" s="132"/>
      <c r="I22" s="128"/>
      <c r="J22" s="128"/>
      <c r="K22" s="305"/>
      <c r="L22" s="305"/>
      <c r="M22" s="305"/>
    </row>
    <row r="23" spans="1:235" ht="21" x14ac:dyDescent="0.4">
      <c r="B23" s="109" t="s">
        <v>154</v>
      </c>
      <c r="C23" s="130" t="s">
        <v>108</v>
      </c>
      <c r="D23" s="112">
        <v>391</v>
      </c>
      <c r="E23" s="112">
        <f t="shared" si="5"/>
        <v>485.35</v>
      </c>
      <c r="F23" s="111">
        <f t="shared" si="4"/>
        <v>5824.2000000000007</v>
      </c>
      <c r="G23" s="131">
        <v>341</v>
      </c>
      <c r="H23" s="119"/>
      <c r="I23" s="103"/>
      <c r="J23" s="118">
        <f>E23*4</f>
        <v>1941.4</v>
      </c>
      <c r="K23" s="306"/>
      <c r="L23" s="305"/>
      <c r="M23" s="305"/>
    </row>
    <row r="24" spans="1:235" ht="21" x14ac:dyDescent="0.4">
      <c r="B24" s="109" t="s">
        <v>144</v>
      </c>
      <c r="C24" s="130" t="s">
        <v>108</v>
      </c>
      <c r="D24" s="112">
        <v>391</v>
      </c>
      <c r="E24" s="112">
        <f t="shared" si="5"/>
        <v>485.35</v>
      </c>
      <c r="F24" s="111">
        <f t="shared" si="4"/>
        <v>5824.2000000000007</v>
      </c>
      <c r="G24" s="131">
        <v>341</v>
      </c>
      <c r="H24" s="119"/>
      <c r="I24" s="103"/>
      <c r="J24" s="103"/>
      <c r="K24" s="305"/>
      <c r="L24" s="305"/>
      <c r="M24" s="305"/>
    </row>
    <row r="25" spans="1:235" ht="21" x14ac:dyDescent="0.4">
      <c r="B25" s="109" t="s">
        <v>126</v>
      </c>
      <c r="C25" s="130" t="s">
        <v>108</v>
      </c>
      <c r="D25" s="112">
        <v>391</v>
      </c>
      <c r="E25" s="112">
        <f t="shared" si="5"/>
        <v>485.35</v>
      </c>
      <c r="F25" s="111">
        <f t="shared" si="4"/>
        <v>5824.2000000000007</v>
      </c>
      <c r="G25" s="131">
        <v>341</v>
      </c>
      <c r="H25" s="119"/>
      <c r="I25" s="103"/>
      <c r="J25" s="103"/>
      <c r="K25" s="305"/>
      <c r="L25" s="305"/>
      <c r="M25" s="305"/>
    </row>
    <row r="26" spans="1:235" ht="21" x14ac:dyDescent="0.4">
      <c r="B26" s="302" t="s">
        <v>203</v>
      </c>
      <c r="C26" s="130" t="s">
        <v>108</v>
      </c>
      <c r="D26" s="112">
        <v>309</v>
      </c>
      <c r="E26" s="112">
        <f t="shared" si="5"/>
        <v>397.61</v>
      </c>
      <c r="F26" s="111">
        <f>E26*12</f>
        <v>4771.32</v>
      </c>
      <c r="G26" s="131"/>
      <c r="H26" s="119"/>
      <c r="I26" s="103"/>
      <c r="J26" s="103"/>
      <c r="K26" s="306"/>
      <c r="L26" s="305"/>
      <c r="M26" s="305"/>
    </row>
    <row r="27" spans="1:235" ht="21" x14ac:dyDescent="0.4">
      <c r="B27" s="124" t="s">
        <v>12</v>
      </c>
      <c r="C27" s="133"/>
      <c r="D27" s="126">
        <f>SUM(D18:D26)</f>
        <v>5256.25</v>
      </c>
      <c r="E27" s="126">
        <f>SUM(E18:E26)</f>
        <v>6774.3050000000012</v>
      </c>
      <c r="F27" s="126">
        <f>SUM(F18:F26)</f>
        <v>81491.66</v>
      </c>
      <c r="J27" s="127">
        <f>F27-F18</f>
        <v>50708.820000000007</v>
      </c>
      <c r="K27" s="305"/>
      <c r="L27" s="305"/>
      <c r="M27" s="305"/>
    </row>
    <row r="28" spans="1:235" x14ac:dyDescent="0.3">
      <c r="B28" s="103"/>
      <c r="C28" s="103"/>
      <c r="D28" s="134"/>
      <c r="E28" s="108"/>
      <c r="F28" s="135">
        <f>F15+F27</f>
        <v>155426.71999999997</v>
      </c>
      <c r="G28" s="103"/>
      <c r="H28" s="103"/>
      <c r="I28" s="103"/>
      <c r="J28" s="103"/>
    </row>
    <row r="29" spans="1:235" x14ac:dyDescent="0.3">
      <c r="A29" s="207" t="s">
        <v>25</v>
      </c>
      <c r="B29" s="287" t="s">
        <v>162</v>
      </c>
      <c r="C29" s="105" t="s">
        <v>80</v>
      </c>
      <c r="D29" s="105" t="s">
        <v>81</v>
      </c>
      <c r="E29" s="105" t="s">
        <v>78</v>
      </c>
      <c r="F29" s="105" t="s">
        <v>79</v>
      </c>
    </row>
    <row r="30" spans="1:235" ht="31.5" customHeight="1" x14ac:dyDescent="0.3">
      <c r="B30" s="136" t="s">
        <v>20</v>
      </c>
      <c r="C30" s="137">
        <v>12</v>
      </c>
      <c r="D30" s="138">
        <v>250</v>
      </c>
      <c r="E30" s="139">
        <f>C30*D30</f>
        <v>3000</v>
      </c>
      <c r="F30" s="140" t="s">
        <v>128</v>
      </c>
      <c r="G30" s="103"/>
      <c r="H30" s="103"/>
      <c r="I30" s="103"/>
      <c r="J30" s="103"/>
      <c r="K30" s="127"/>
    </row>
    <row r="31" spans="1:235" ht="33.75" customHeight="1" x14ac:dyDescent="0.3">
      <c r="B31" s="141" t="s">
        <v>21</v>
      </c>
      <c r="C31" s="137">
        <v>12</v>
      </c>
      <c r="D31" s="138">
        <f>E31/12</f>
        <v>541.66666666666663</v>
      </c>
      <c r="E31" s="139">
        <v>6500</v>
      </c>
      <c r="F31" s="142" t="s">
        <v>83</v>
      </c>
      <c r="G31" s="103"/>
      <c r="H31" s="103"/>
      <c r="I31" s="103"/>
      <c r="J31" s="103"/>
    </row>
    <row r="32" spans="1:235" s="148" customFormat="1" ht="65.25" customHeight="1" x14ac:dyDescent="0.25">
      <c r="A32" s="143"/>
      <c r="B32" s="144" t="s">
        <v>157</v>
      </c>
      <c r="C32" s="137">
        <v>3</v>
      </c>
      <c r="D32" s="145"/>
      <c r="E32" s="139">
        <f>8496+78.67</f>
        <v>8574.67</v>
      </c>
      <c r="F32" s="144" t="s">
        <v>175</v>
      </c>
      <c r="G32" s="146"/>
      <c r="H32" s="146"/>
      <c r="I32" s="146"/>
      <c r="J32" s="147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</row>
    <row r="33" spans="1:235" s="108" customFormat="1" ht="48.75" customHeight="1" x14ac:dyDescent="0.3">
      <c r="A33" s="103"/>
      <c r="B33" s="151" t="s">
        <v>84</v>
      </c>
      <c r="C33" s="152">
        <v>12</v>
      </c>
      <c r="D33" s="156"/>
      <c r="E33" s="230">
        <v>11200</v>
      </c>
      <c r="F33" s="151" t="s">
        <v>236</v>
      </c>
      <c r="G33" s="146"/>
      <c r="H33" s="146"/>
      <c r="I33" s="146"/>
      <c r="J33" s="103"/>
      <c r="K33" s="118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</row>
    <row r="34" spans="1:235" s="108" customFormat="1" ht="18" customHeight="1" x14ac:dyDescent="0.3">
      <c r="A34" s="103"/>
      <c r="B34" s="208" t="s">
        <v>178</v>
      </c>
      <c r="C34" s="209"/>
      <c r="D34" s="210"/>
      <c r="E34" s="211"/>
      <c r="F34" s="212"/>
      <c r="G34" s="146"/>
      <c r="H34" s="146"/>
      <c r="I34" s="146"/>
      <c r="J34" s="103"/>
      <c r="K34" s="118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</row>
    <row r="35" spans="1:235" s="108" customFormat="1" ht="18" customHeight="1" x14ac:dyDescent="0.3">
      <c r="A35" s="103"/>
      <c r="B35" s="158" t="s">
        <v>224</v>
      </c>
      <c r="C35" s="152">
        <v>1</v>
      </c>
      <c r="D35" s="156"/>
      <c r="E35" s="156">
        <v>0</v>
      </c>
      <c r="F35" s="151"/>
      <c r="G35" s="146"/>
      <c r="H35" s="146"/>
      <c r="I35" s="146"/>
      <c r="J35" s="103"/>
      <c r="K35" s="118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</row>
    <row r="36" spans="1:235" s="155" customFormat="1" ht="30" customHeight="1" x14ac:dyDescent="0.3">
      <c r="A36" s="153"/>
      <c r="B36" s="154" t="s">
        <v>235</v>
      </c>
      <c r="C36" s="290">
        <v>1</v>
      </c>
      <c r="D36" s="289"/>
      <c r="E36" s="150">
        <v>3000</v>
      </c>
      <c r="F36" s="194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</row>
    <row r="37" spans="1:235" s="155" customFormat="1" ht="30" customHeight="1" x14ac:dyDescent="0.3">
      <c r="A37" s="153"/>
      <c r="B37" s="154" t="s">
        <v>232</v>
      </c>
      <c r="C37" s="290">
        <v>1</v>
      </c>
      <c r="D37" s="289"/>
      <c r="E37" s="150">
        <v>400</v>
      </c>
      <c r="F37" s="194" t="s">
        <v>233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</row>
    <row r="38" spans="1:235" s="155" customFormat="1" ht="31.5" customHeight="1" x14ac:dyDescent="0.3">
      <c r="A38" s="153"/>
      <c r="B38" s="214" t="s">
        <v>164</v>
      </c>
      <c r="C38" s="215"/>
      <c r="D38" s="216"/>
      <c r="E38" s="217"/>
      <c r="F38" s="214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</row>
    <row r="39" spans="1:235" s="155" customFormat="1" ht="18.75" customHeight="1" x14ac:dyDescent="0.3">
      <c r="A39" s="153"/>
      <c r="B39" s="158" t="s">
        <v>165</v>
      </c>
      <c r="C39" s="152">
        <v>1</v>
      </c>
      <c r="D39" s="145"/>
      <c r="E39" s="156">
        <v>800</v>
      </c>
      <c r="F39" s="154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</row>
    <row r="40" spans="1:235" s="155" customFormat="1" ht="22.5" customHeight="1" x14ac:dyDescent="0.3">
      <c r="A40" s="153"/>
      <c r="B40" s="219" t="s">
        <v>219</v>
      </c>
      <c r="C40" s="209"/>
      <c r="D40" s="213"/>
      <c r="E40" s="210"/>
      <c r="F40" s="288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</row>
    <row r="41" spans="1:235" s="155" customFormat="1" ht="18.75" customHeight="1" x14ac:dyDescent="0.3">
      <c r="A41" s="153"/>
      <c r="B41" s="158" t="s">
        <v>220</v>
      </c>
      <c r="C41" s="152">
        <v>1</v>
      </c>
      <c r="D41" s="145"/>
      <c r="E41" s="156">
        <v>1300</v>
      </c>
      <c r="F41" s="154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</row>
    <row r="42" spans="1:235" s="155" customFormat="1" ht="18.75" customHeight="1" x14ac:dyDescent="0.3">
      <c r="A42" s="153"/>
      <c r="B42" s="158" t="s">
        <v>221</v>
      </c>
      <c r="C42" s="152">
        <v>1</v>
      </c>
      <c r="D42" s="145"/>
      <c r="E42" s="156">
        <v>46.86</v>
      </c>
      <c r="F42" s="154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</row>
    <row r="43" spans="1:235" s="155" customFormat="1" ht="30.75" customHeight="1" x14ac:dyDescent="0.3">
      <c r="A43" s="153"/>
      <c r="B43" s="158" t="s">
        <v>222</v>
      </c>
      <c r="C43" s="152">
        <v>1</v>
      </c>
      <c r="D43" s="145"/>
      <c r="E43" s="156">
        <v>68</v>
      </c>
      <c r="F43" s="154" t="s">
        <v>223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</row>
    <row r="44" spans="1:235" s="155" customFormat="1" x14ac:dyDescent="0.3">
      <c r="A44" s="101"/>
      <c r="B44" s="124" t="s">
        <v>12</v>
      </c>
      <c r="C44" s="125"/>
      <c r="D44" s="126"/>
      <c r="E44" s="126">
        <f>SUM(E30:E43)</f>
        <v>34889.53</v>
      </c>
      <c r="F44" s="126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</row>
    <row r="45" spans="1:235" s="155" customFormat="1" x14ac:dyDescent="0.3">
      <c r="A45" s="143"/>
      <c r="B45" s="158" t="s">
        <v>195</v>
      </c>
      <c r="C45" s="159"/>
      <c r="D45" s="159"/>
      <c r="E45" s="159"/>
      <c r="F45" s="160">
        <f>484*6+432.75*2.5+391+391*5.5</f>
        <v>6527.375</v>
      </c>
      <c r="G45" s="161"/>
      <c r="H45" s="162"/>
      <c r="I45" s="162"/>
      <c r="J45" s="163"/>
      <c r="K45" s="197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</row>
    <row r="46" spans="1:235" s="155" customFormat="1" x14ac:dyDescent="0.3">
      <c r="A46" s="164"/>
      <c r="B46" s="165" t="s">
        <v>194</v>
      </c>
      <c r="C46" s="166">
        <v>0.05</v>
      </c>
      <c r="D46" s="167"/>
      <c r="E46" s="168"/>
      <c r="F46" s="169">
        <f>(F47-F45)*C46</f>
        <v>9515.8124999999982</v>
      </c>
      <c r="G46" s="161"/>
      <c r="H46" s="170"/>
      <c r="I46" s="170"/>
      <c r="J46" s="170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</row>
    <row r="47" spans="1:235" s="155" customFormat="1" x14ac:dyDescent="0.3">
      <c r="A47" s="101"/>
      <c r="B47" s="171" t="s">
        <v>22</v>
      </c>
      <c r="C47" s="172"/>
      <c r="D47" s="172"/>
      <c r="E47" s="173"/>
      <c r="F47" s="173">
        <f>F15+F27+E44+F45</f>
        <v>196843.62499999997</v>
      </c>
      <c r="G47" s="103"/>
      <c r="H47" s="103"/>
      <c r="I47" s="103"/>
      <c r="J47" s="103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</row>
    <row r="48" spans="1:235" s="155" customFormat="1" x14ac:dyDescent="0.3">
      <c r="A48" s="101"/>
      <c r="B48" s="299" t="s">
        <v>234</v>
      </c>
      <c r="C48" s="172"/>
      <c r="D48" s="172"/>
      <c r="E48" s="173"/>
      <c r="F48" s="173"/>
      <c r="G48" s="103"/>
      <c r="H48" s="103"/>
      <c r="I48" s="103"/>
      <c r="J48" s="103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</row>
    <row r="49" spans="1:235" s="155" customFormat="1" x14ac:dyDescent="0.3">
      <c r="A49" s="164"/>
      <c r="B49" s="165" t="s">
        <v>226</v>
      </c>
      <c r="C49" s="292"/>
      <c r="D49" s="169">
        <f>(F27+E44+432.75*2.5+391+391*5.5+F46)/12</f>
        <v>10793.364791666667</v>
      </c>
      <c r="E49" s="293"/>
      <c r="F49" s="169"/>
      <c r="G49" s="291"/>
      <c r="H49" s="170"/>
      <c r="I49" s="170"/>
      <c r="J49" s="170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</row>
    <row r="50" spans="1:235" s="155" customFormat="1" x14ac:dyDescent="0.3">
      <c r="A50" s="164"/>
      <c r="B50" s="165" t="s">
        <v>26</v>
      </c>
      <c r="C50" s="292"/>
      <c r="D50" s="169">
        <f>(F15-F14+484*6)/12</f>
        <v>6186.8999999999987</v>
      </c>
      <c r="E50" s="293"/>
      <c r="F50" s="169"/>
      <c r="G50" s="291"/>
      <c r="H50" s="170"/>
      <c r="I50" s="170"/>
      <c r="J50" s="170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</row>
    <row r="51" spans="1:235" s="155" customFormat="1" x14ac:dyDescent="0.3">
      <c r="A51" s="164"/>
      <c r="B51" s="165" t="s">
        <v>231</v>
      </c>
      <c r="C51" s="292"/>
      <c r="D51" s="169">
        <f>F14/12</f>
        <v>216.35500000000002</v>
      </c>
      <c r="E51" s="293"/>
      <c r="F51" s="169"/>
      <c r="G51" s="291"/>
      <c r="H51" s="170"/>
      <c r="I51" s="170"/>
      <c r="J51" s="170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</row>
    <row r="52" spans="1:235" s="155" customFormat="1" ht="18" x14ac:dyDescent="0.35">
      <c r="A52" s="101"/>
      <c r="B52" s="225" t="s">
        <v>23</v>
      </c>
      <c r="C52" s="298"/>
      <c r="D52" s="227">
        <f>F52/12</f>
        <v>17196.619791666664</v>
      </c>
      <c r="E52" s="298"/>
      <c r="F52" s="228">
        <f>F47+F46</f>
        <v>206359.43749999997</v>
      </c>
      <c r="G52" s="103"/>
      <c r="H52" s="103"/>
      <c r="I52" s="103"/>
      <c r="J52" s="103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</row>
    <row r="53" spans="1:235" s="155" customFormat="1" ht="20.399999999999999" x14ac:dyDescent="0.35">
      <c r="A53" s="207" t="s">
        <v>159</v>
      </c>
      <c r="B53" s="223" t="s">
        <v>196</v>
      </c>
      <c r="C53" s="174"/>
      <c r="D53" s="198"/>
      <c r="E53" s="174"/>
      <c r="F53" s="229" t="s">
        <v>216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</row>
    <row r="54" spans="1:235" s="148" customFormat="1" x14ac:dyDescent="0.3">
      <c r="A54" s="101"/>
      <c r="B54" s="102" t="s">
        <v>114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</row>
    <row r="55" spans="1:235" s="175" customFormat="1" x14ac:dyDescent="0.3">
      <c r="A55" s="101"/>
      <c r="B55" s="102" t="s">
        <v>193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</row>
    <row r="56" spans="1:235" s="175" customFormat="1" ht="16.2" thickBot="1" x14ac:dyDescent="0.35">
      <c r="A56" s="101"/>
      <c r="B56" s="328" t="s">
        <v>197</v>
      </c>
      <c r="C56" s="328"/>
      <c r="D56" s="328"/>
      <c r="E56" s="328"/>
      <c r="F56" s="328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</row>
    <row r="57" spans="1:235" ht="64.5" customHeight="1" x14ac:dyDescent="0.3">
      <c r="B57" s="324" t="s">
        <v>24</v>
      </c>
      <c r="C57" s="176">
        <v>71400</v>
      </c>
      <c r="D57" s="177">
        <f>F27+F45-484*6-F18</f>
        <v>54332.195000000007</v>
      </c>
      <c r="E57" s="178"/>
      <c r="F57" s="179" t="s">
        <v>145</v>
      </c>
      <c r="K57" s="308"/>
    </row>
    <row r="58" spans="1:235" ht="21.75" customHeight="1" thickBot="1" x14ac:dyDescent="0.35">
      <c r="B58" s="325"/>
      <c r="C58" s="180">
        <v>61200</v>
      </c>
      <c r="D58" s="181">
        <f>F18</f>
        <v>30782.839999999997</v>
      </c>
      <c r="E58" s="180"/>
      <c r="F58" s="182" t="s">
        <v>148</v>
      </c>
      <c r="K58" s="309"/>
    </row>
    <row r="59" spans="1:235" ht="16.2" thickBot="1" x14ac:dyDescent="0.35">
      <c r="B59" s="199" t="s">
        <v>25</v>
      </c>
      <c r="C59" s="183">
        <v>73120</v>
      </c>
      <c r="D59" s="184">
        <f>E44+F46</f>
        <v>44405.342499999999</v>
      </c>
      <c r="E59" s="183"/>
      <c r="F59" s="185" t="s">
        <v>172</v>
      </c>
      <c r="K59" s="127"/>
    </row>
    <row r="60" spans="1:235" ht="34.5" customHeight="1" x14ac:dyDescent="0.3">
      <c r="B60" s="326" t="s">
        <v>26</v>
      </c>
      <c r="C60" s="186">
        <v>71400</v>
      </c>
      <c r="D60" s="187">
        <f>F15+484*6-F14</f>
        <v>74242.799999999988</v>
      </c>
      <c r="E60" s="186"/>
      <c r="F60" s="188" t="s">
        <v>115</v>
      </c>
      <c r="K60" s="307"/>
    </row>
    <row r="61" spans="1:235" ht="30" customHeight="1" thickBot="1" x14ac:dyDescent="0.35">
      <c r="B61" s="327"/>
      <c r="C61" s="180">
        <v>71405</v>
      </c>
      <c r="D61" s="181">
        <f>F14</f>
        <v>2596.2600000000002</v>
      </c>
      <c r="E61" s="180"/>
      <c r="F61" s="182" t="s">
        <v>116</v>
      </c>
    </row>
    <row r="62" spans="1:235" ht="16.2" thickBot="1" x14ac:dyDescent="0.35">
      <c r="B62" s="189" t="s">
        <v>77</v>
      </c>
      <c r="C62" s="190"/>
      <c r="D62" s="191">
        <f>SUM(D57:D61)</f>
        <v>206359.4375</v>
      </c>
      <c r="E62" s="192"/>
      <c r="F62" s="193"/>
    </row>
    <row r="64" spans="1:235" x14ac:dyDescent="0.3">
      <c r="D64" s="113"/>
    </row>
    <row r="65" spans="4:6" x14ac:dyDescent="0.3">
      <c r="D65" s="127"/>
      <c r="E65" s="127"/>
      <c r="F65" s="127"/>
    </row>
    <row r="66" spans="4:6" ht="30" customHeight="1" x14ac:dyDescent="0.3">
      <c r="F66" s="127"/>
    </row>
    <row r="67" spans="4:6" x14ac:dyDescent="0.3">
      <c r="F67" s="127"/>
    </row>
  </sheetData>
  <mergeCells count="3">
    <mergeCell ref="B57:B58"/>
    <mergeCell ref="B60:B61"/>
    <mergeCell ref="B56:F56"/>
  </mergeCells>
  <phoneticPr fontId="0" type="noConversion"/>
  <pageMargins left="0.41" right="0.18" top="0.5" bottom="0.43" header="0.17" footer="0.18"/>
  <pageSetup scale="65" orientation="portrait" r:id="rId1"/>
  <headerFooter alignWithMargins="0"/>
  <rowBreaks count="1" manualBreakCount="1">
    <brk id="56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topLeftCell="A29" workbookViewId="0">
      <selection activeCell="O33" sqref="O33"/>
    </sheetView>
  </sheetViews>
  <sheetFormatPr defaultColWidth="9.109375" defaultRowHeight="15.6" x14ac:dyDescent="0.3"/>
  <cols>
    <col min="1" max="1" width="11" style="101" customWidth="1"/>
    <col min="2" max="2" width="39.33203125" style="101" customWidth="1"/>
    <col min="3" max="3" width="15" style="101" customWidth="1"/>
    <col min="4" max="4" width="18.5546875" style="101" customWidth="1"/>
    <col min="5" max="5" width="19.6640625" style="101" customWidth="1"/>
    <col min="6" max="6" width="46.33203125" style="101" customWidth="1"/>
    <col min="7" max="7" width="8" style="101" hidden="1" customWidth="1"/>
    <col min="8" max="9" width="9.109375" style="101" hidden="1" customWidth="1"/>
    <col min="10" max="10" width="11.5546875" style="101" hidden="1" customWidth="1"/>
    <col min="11" max="11" width="22.88671875" style="101" customWidth="1"/>
    <col min="12" max="12" width="13.88671875" style="101" bestFit="1" customWidth="1"/>
    <col min="13" max="13" width="12.44140625" style="101" bestFit="1" customWidth="1"/>
    <col min="14" max="16384" width="9.109375" style="101"/>
  </cols>
  <sheetData>
    <row r="1" spans="1:256" ht="17.399999999999999" x14ac:dyDescent="0.3">
      <c r="B1" s="221" t="s">
        <v>156</v>
      </c>
      <c r="G1" s="103"/>
      <c r="H1" s="103"/>
      <c r="I1" s="103"/>
      <c r="J1" s="103"/>
    </row>
    <row r="2" spans="1:256" ht="7.5" customHeight="1" x14ac:dyDescent="0.3">
      <c r="B2" s="102"/>
      <c r="G2" s="103"/>
      <c r="H2" s="103"/>
      <c r="I2" s="103"/>
      <c r="J2" s="103"/>
    </row>
    <row r="3" spans="1:256" x14ac:dyDescent="0.3">
      <c r="A3" s="207" t="s">
        <v>158</v>
      </c>
      <c r="B3" s="104" t="s">
        <v>0</v>
      </c>
      <c r="C3" s="105" t="s">
        <v>101</v>
      </c>
      <c r="D3" s="106" t="s">
        <v>2</v>
      </c>
      <c r="E3" s="105" t="s">
        <v>151</v>
      </c>
      <c r="F3" s="105" t="s">
        <v>3</v>
      </c>
      <c r="G3" s="107"/>
      <c r="H3" s="108"/>
      <c r="I3" s="103"/>
      <c r="J3" s="103"/>
    </row>
    <row r="4" spans="1:256" x14ac:dyDescent="0.3">
      <c r="B4" s="109" t="s">
        <v>117</v>
      </c>
      <c r="C4" s="110" t="s">
        <v>102</v>
      </c>
      <c r="D4" s="111">
        <f>574*107%</f>
        <v>614.18000000000006</v>
      </c>
      <c r="E4" s="112">
        <f>D4+8.88+42.92+6.6+D4*7%</f>
        <v>715.57260000000008</v>
      </c>
      <c r="F4" s="111">
        <f>E4*12</f>
        <v>8586.8712000000014</v>
      </c>
      <c r="G4" s="101">
        <v>461</v>
      </c>
      <c r="H4" s="113">
        <f>G4*4%</f>
        <v>18.440000000000001</v>
      </c>
      <c r="I4" s="114">
        <f>G4+H4</f>
        <v>479.44</v>
      </c>
      <c r="J4" s="115" t="s">
        <v>102</v>
      </c>
    </row>
    <row r="5" spans="1:256" s="108" customFormat="1" x14ac:dyDescent="0.3">
      <c r="A5" s="103"/>
      <c r="B5" s="116" t="s">
        <v>118</v>
      </c>
      <c r="C5" s="110" t="s">
        <v>103</v>
      </c>
      <c r="D5" s="117">
        <f>484*107%</f>
        <v>517.88</v>
      </c>
      <c r="E5" s="112">
        <f t="shared" ref="E5:E13" si="0">D5+8.88+42.92+6.6+D5*7%</f>
        <v>612.53160000000003</v>
      </c>
      <c r="F5" s="117">
        <f>E5*12</f>
        <v>7350.3792000000003</v>
      </c>
      <c r="G5" s="103"/>
      <c r="H5" s="103"/>
      <c r="I5" s="103"/>
      <c r="J5" s="103"/>
      <c r="K5" s="103"/>
      <c r="L5" s="103"/>
      <c r="M5" s="118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08" customFormat="1" x14ac:dyDescent="0.3">
      <c r="A6" s="103"/>
      <c r="B6" s="116" t="s">
        <v>119</v>
      </c>
      <c r="C6" s="110" t="s">
        <v>103</v>
      </c>
      <c r="D6" s="117">
        <f t="shared" ref="D6:D13" si="1">484*107%</f>
        <v>517.88</v>
      </c>
      <c r="E6" s="112">
        <f t="shared" si="0"/>
        <v>612.53160000000003</v>
      </c>
      <c r="F6" s="117">
        <f t="shared" ref="F6:F13" si="2">E6*12</f>
        <v>7350.3792000000003</v>
      </c>
      <c r="G6" s="103">
        <v>426</v>
      </c>
      <c r="H6" s="119">
        <f t="shared" ref="H6:H13" si="3">G6*4%</f>
        <v>17.04</v>
      </c>
      <c r="I6" s="119">
        <f t="shared" ref="I6:I13" si="4">G6+H6</f>
        <v>443.04</v>
      </c>
      <c r="J6" s="120" t="s">
        <v>103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</row>
    <row r="7" spans="1:256" s="108" customFormat="1" x14ac:dyDescent="0.3">
      <c r="A7" s="103"/>
      <c r="B7" s="116" t="s">
        <v>120</v>
      </c>
      <c r="C7" s="110" t="s">
        <v>103</v>
      </c>
      <c r="D7" s="117">
        <f t="shared" si="1"/>
        <v>517.88</v>
      </c>
      <c r="E7" s="112">
        <f t="shared" si="0"/>
        <v>612.53160000000003</v>
      </c>
      <c r="F7" s="117">
        <f t="shared" si="2"/>
        <v>7350.3792000000003</v>
      </c>
      <c r="G7" s="103">
        <v>365</v>
      </c>
      <c r="H7" s="119">
        <f t="shared" si="3"/>
        <v>14.6</v>
      </c>
      <c r="I7" s="119">
        <f t="shared" si="4"/>
        <v>379.6</v>
      </c>
      <c r="J7" s="120" t="s">
        <v>103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s="108" customFormat="1" x14ac:dyDescent="0.3">
      <c r="A8" s="103"/>
      <c r="B8" s="116" t="s">
        <v>104</v>
      </c>
      <c r="C8" s="110" t="s">
        <v>103</v>
      </c>
      <c r="D8" s="117">
        <f t="shared" si="1"/>
        <v>517.88</v>
      </c>
      <c r="E8" s="112">
        <f t="shared" si="0"/>
        <v>612.53160000000003</v>
      </c>
      <c r="F8" s="117">
        <f t="shared" si="2"/>
        <v>7350.3792000000003</v>
      </c>
      <c r="G8" s="103">
        <v>410</v>
      </c>
      <c r="H8" s="119">
        <f t="shared" si="3"/>
        <v>16.399999999999999</v>
      </c>
      <c r="I8" s="119">
        <f t="shared" si="4"/>
        <v>426.4</v>
      </c>
      <c r="J8" s="120" t="s">
        <v>103</v>
      </c>
      <c r="K8" s="103"/>
      <c r="L8" s="118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x14ac:dyDescent="0.3">
      <c r="B9" s="109" t="s">
        <v>105</v>
      </c>
      <c r="C9" s="110" t="s">
        <v>103</v>
      </c>
      <c r="D9" s="117">
        <f t="shared" si="1"/>
        <v>517.88</v>
      </c>
      <c r="E9" s="112">
        <f t="shared" si="0"/>
        <v>612.53160000000003</v>
      </c>
      <c r="F9" s="111">
        <f t="shared" si="2"/>
        <v>7350.3792000000003</v>
      </c>
      <c r="G9" s="101">
        <v>410</v>
      </c>
      <c r="H9" s="113">
        <f t="shared" si="3"/>
        <v>16.399999999999999</v>
      </c>
      <c r="I9" s="114">
        <f t="shared" si="4"/>
        <v>426.4</v>
      </c>
      <c r="J9" s="115" t="s">
        <v>103</v>
      </c>
      <c r="M9" s="127"/>
    </row>
    <row r="10" spans="1:256" x14ac:dyDescent="0.3">
      <c r="B10" s="109" t="s">
        <v>121</v>
      </c>
      <c r="C10" s="110" t="s">
        <v>103</v>
      </c>
      <c r="D10" s="117">
        <f t="shared" si="1"/>
        <v>517.88</v>
      </c>
      <c r="E10" s="112">
        <f t="shared" si="0"/>
        <v>612.53160000000003</v>
      </c>
      <c r="F10" s="111">
        <f t="shared" si="2"/>
        <v>7350.3792000000003</v>
      </c>
      <c r="G10" s="101">
        <v>324</v>
      </c>
      <c r="H10" s="113">
        <f t="shared" si="3"/>
        <v>12.96</v>
      </c>
      <c r="I10" s="114">
        <f t="shared" si="4"/>
        <v>336.96</v>
      </c>
      <c r="J10" s="115" t="s">
        <v>103</v>
      </c>
    </row>
    <row r="11" spans="1:256" x14ac:dyDescent="0.3">
      <c r="B11" s="109" t="s">
        <v>122</v>
      </c>
      <c r="C11" s="110" t="s">
        <v>103</v>
      </c>
      <c r="D11" s="117">
        <f t="shared" si="1"/>
        <v>517.88</v>
      </c>
      <c r="E11" s="112">
        <f t="shared" si="0"/>
        <v>612.53160000000003</v>
      </c>
      <c r="F11" s="111">
        <f t="shared" si="2"/>
        <v>7350.3792000000003</v>
      </c>
      <c r="G11" s="101">
        <v>350</v>
      </c>
      <c r="H11" s="113">
        <f t="shared" si="3"/>
        <v>14</v>
      </c>
      <c r="I11" s="114">
        <f t="shared" si="4"/>
        <v>364</v>
      </c>
      <c r="J11" s="115" t="s">
        <v>103</v>
      </c>
    </row>
    <row r="12" spans="1:256" x14ac:dyDescent="0.3">
      <c r="B12" s="109" t="s">
        <v>123</v>
      </c>
      <c r="C12" s="110" t="s">
        <v>103</v>
      </c>
      <c r="D12" s="117">
        <f t="shared" si="1"/>
        <v>517.88</v>
      </c>
      <c r="E12" s="112">
        <f t="shared" si="0"/>
        <v>612.53160000000003</v>
      </c>
      <c r="F12" s="111">
        <f t="shared" si="2"/>
        <v>7350.3792000000003</v>
      </c>
      <c r="G12" s="101">
        <v>365</v>
      </c>
      <c r="H12" s="113">
        <f t="shared" si="3"/>
        <v>14.6</v>
      </c>
      <c r="I12" s="114">
        <f t="shared" si="4"/>
        <v>379.6</v>
      </c>
      <c r="J12" s="115" t="s">
        <v>103</v>
      </c>
    </row>
    <row r="13" spans="1:256" x14ac:dyDescent="0.3">
      <c r="B13" s="109" t="s">
        <v>149</v>
      </c>
      <c r="C13" s="110" t="s">
        <v>103</v>
      </c>
      <c r="D13" s="117">
        <f t="shared" si="1"/>
        <v>517.88</v>
      </c>
      <c r="E13" s="112">
        <f t="shared" si="0"/>
        <v>612.53160000000003</v>
      </c>
      <c r="F13" s="111">
        <f t="shared" si="2"/>
        <v>7350.3792000000003</v>
      </c>
      <c r="G13" s="101">
        <v>324</v>
      </c>
      <c r="H13" s="113">
        <f t="shared" si="3"/>
        <v>12.96</v>
      </c>
      <c r="I13" s="114">
        <f t="shared" si="4"/>
        <v>336.96</v>
      </c>
      <c r="J13" s="115" t="s">
        <v>103</v>
      </c>
      <c r="L13" s="127"/>
    </row>
    <row r="14" spans="1:256" x14ac:dyDescent="0.3">
      <c r="B14" s="109" t="s">
        <v>113</v>
      </c>
      <c r="C14" s="121"/>
      <c r="D14" s="122"/>
      <c r="E14" s="112"/>
      <c r="F14" s="123">
        <v>2596.2600000000002</v>
      </c>
      <c r="L14" s="127"/>
    </row>
    <row r="15" spans="1:256" x14ac:dyDescent="0.3">
      <c r="B15" s="124" t="s">
        <v>12</v>
      </c>
      <c r="C15" s="125"/>
      <c r="D15" s="126">
        <f>SUM(D4:D13)</f>
        <v>5275.1</v>
      </c>
      <c r="E15" s="126">
        <f>SUM(E4:E13)</f>
        <v>6228.3570000000018</v>
      </c>
      <c r="F15" s="126">
        <f>SUM(F4:F14)</f>
        <v>77336.543999999994</v>
      </c>
      <c r="G15" s="101">
        <v>151</v>
      </c>
      <c r="J15" s="115"/>
      <c r="L15" s="127"/>
    </row>
    <row r="16" spans="1:256" x14ac:dyDescent="0.3">
      <c r="F16" s="224"/>
      <c r="G16" s="128"/>
      <c r="H16" s="129"/>
      <c r="I16" s="128"/>
      <c r="J16" s="128"/>
    </row>
    <row r="17" spans="1:256" x14ac:dyDescent="0.3">
      <c r="A17" s="207" t="s">
        <v>24</v>
      </c>
      <c r="B17" s="104" t="s">
        <v>13</v>
      </c>
      <c r="C17" s="105" t="s">
        <v>1</v>
      </c>
      <c r="D17" s="105" t="s">
        <v>150</v>
      </c>
      <c r="E17" s="105" t="s">
        <v>141</v>
      </c>
      <c r="F17" s="105" t="s">
        <v>3</v>
      </c>
      <c r="G17" s="128"/>
      <c r="H17" s="129"/>
      <c r="I17" s="128"/>
      <c r="J17" s="128"/>
    </row>
    <row r="18" spans="1:256" s="108" customFormat="1" ht="18.75" customHeight="1" x14ac:dyDescent="0.3">
      <c r="A18" s="103"/>
      <c r="B18" s="116" t="s">
        <v>142</v>
      </c>
      <c r="C18" s="130">
        <v>1</v>
      </c>
      <c r="D18" s="111">
        <v>1648.52</v>
      </c>
      <c r="E18" s="112">
        <f>1747.75+105+170.47*2+126.71</f>
        <v>2320.4</v>
      </c>
      <c r="F18" s="117">
        <f>E18*12</f>
        <v>27844.800000000003</v>
      </c>
      <c r="G18" s="103"/>
      <c r="H18" s="103"/>
      <c r="I18" s="103"/>
      <c r="J18" s="103"/>
      <c r="K18" s="103"/>
      <c r="L18" s="118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</row>
    <row r="19" spans="1:256" s="108" customFormat="1" x14ac:dyDescent="0.3">
      <c r="A19" s="103"/>
      <c r="B19" s="116" t="s">
        <v>143</v>
      </c>
      <c r="C19" s="130">
        <v>1</v>
      </c>
      <c r="D19" s="112">
        <v>432.75</v>
      </c>
      <c r="E19" s="112">
        <f>D19+8.88+42.92+6.6+D19*7%</f>
        <v>521.4425</v>
      </c>
      <c r="F19" s="117">
        <f t="shared" ref="F19:F25" si="5">E19*12</f>
        <v>6257.3099999999995</v>
      </c>
      <c r="G19" s="103"/>
      <c r="H19" s="103"/>
      <c r="I19" s="103"/>
      <c r="J19" s="118">
        <f>E19*2</f>
        <v>1042.885</v>
      </c>
      <c r="K19" s="103"/>
      <c r="L19" s="118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</row>
    <row r="20" spans="1:256" s="108" customFormat="1" x14ac:dyDescent="0.3">
      <c r="A20" s="103"/>
      <c r="B20" s="116" t="s">
        <v>147</v>
      </c>
      <c r="C20" s="130">
        <v>1</v>
      </c>
      <c r="D20" s="112">
        <v>432.75</v>
      </c>
      <c r="E20" s="112">
        <f t="shared" ref="E20:E26" si="6">D20+8.88+42.92+6.6+D20*7%</f>
        <v>521.4425</v>
      </c>
      <c r="F20" s="117">
        <f t="shared" si="5"/>
        <v>6257.3099999999995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</row>
    <row r="21" spans="1:256" x14ac:dyDescent="0.3">
      <c r="B21" s="109" t="s">
        <v>124</v>
      </c>
      <c r="C21" s="130" t="s">
        <v>110</v>
      </c>
      <c r="D21" s="112">
        <f>599*107%</f>
        <v>640.93000000000006</v>
      </c>
      <c r="E21" s="112">
        <f t="shared" si="6"/>
        <v>744.19510000000002</v>
      </c>
      <c r="F21" s="111">
        <f t="shared" si="5"/>
        <v>8930.3412000000008</v>
      </c>
      <c r="G21" s="131">
        <v>599</v>
      </c>
      <c r="H21" s="132"/>
      <c r="I21" s="128"/>
      <c r="J21" s="128"/>
    </row>
    <row r="22" spans="1:256" x14ac:dyDescent="0.3">
      <c r="B22" s="109" t="s">
        <v>106</v>
      </c>
      <c r="C22" s="130" t="s">
        <v>107</v>
      </c>
      <c r="D22" s="112">
        <f>391*107%</f>
        <v>418.37</v>
      </c>
      <c r="E22" s="112">
        <f t="shared" si="6"/>
        <v>506.05590000000007</v>
      </c>
      <c r="F22" s="111">
        <f t="shared" si="5"/>
        <v>6072.6708000000008</v>
      </c>
      <c r="G22" s="131">
        <v>391</v>
      </c>
      <c r="H22" s="132"/>
      <c r="I22" s="128"/>
      <c r="J22" s="128"/>
      <c r="L22" s="127"/>
    </row>
    <row r="23" spans="1:256" x14ac:dyDescent="0.3">
      <c r="B23" s="109" t="s">
        <v>125</v>
      </c>
      <c r="C23" s="130" t="s">
        <v>108</v>
      </c>
      <c r="D23" s="112">
        <f>391*107%</f>
        <v>418.37</v>
      </c>
      <c r="E23" s="112">
        <f t="shared" si="6"/>
        <v>506.05590000000007</v>
      </c>
      <c r="F23" s="111">
        <f t="shared" si="5"/>
        <v>6072.6708000000008</v>
      </c>
      <c r="G23" s="131">
        <v>341</v>
      </c>
      <c r="H23" s="119"/>
      <c r="I23" s="103"/>
      <c r="J23" s="118">
        <f>E23*4</f>
        <v>2024.2236000000003</v>
      </c>
      <c r="M23" s="127"/>
    </row>
    <row r="24" spans="1:256" x14ac:dyDescent="0.3">
      <c r="B24" s="109" t="s">
        <v>144</v>
      </c>
      <c r="C24" s="130" t="s">
        <v>108</v>
      </c>
      <c r="D24" s="112">
        <f>391*107%</f>
        <v>418.37</v>
      </c>
      <c r="E24" s="112">
        <f t="shared" si="6"/>
        <v>506.05590000000007</v>
      </c>
      <c r="F24" s="111">
        <f t="shared" si="5"/>
        <v>6072.6708000000008</v>
      </c>
      <c r="G24" s="131">
        <v>341</v>
      </c>
      <c r="H24" s="119"/>
      <c r="I24" s="103"/>
      <c r="J24" s="103"/>
    </row>
    <row r="25" spans="1:256" x14ac:dyDescent="0.3">
      <c r="B25" s="109" t="s">
        <v>126</v>
      </c>
      <c r="C25" s="130" t="s">
        <v>108</v>
      </c>
      <c r="D25" s="112">
        <f>391*107%</f>
        <v>418.37</v>
      </c>
      <c r="E25" s="112">
        <f t="shared" si="6"/>
        <v>506.05590000000007</v>
      </c>
      <c r="F25" s="111">
        <f t="shared" si="5"/>
        <v>6072.6708000000008</v>
      </c>
      <c r="G25" s="131">
        <v>341</v>
      </c>
      <c r="H25" s="119"/>
      <c r="I25" s="103"/>
      <c r="J25" s="103"/>
    </row>
    <row r="26" spans="1:256" x14ac:dyDescent="0.3">
      <c r="B26" s="109" t="s">
        <v>154</v>
      </c>
      <c r="C26" s="130" t="s">
        <v>108</v>
      </c>
      <c r="D26" s="112">
        <f>391*107%</f>
        <v>418.37</v>
      </c>
      <c r="E26" s="112">
        <f t="shared" si="6"/>
        <v>506.05590000000007</v>
      </c>
      <c r="F26" s="111">
        <f>E26*12</f>
        <v>6072.6708000000008</v>
      </c>
      <c r="G26" s="131"/>
      <c r="H26" s="119"/>
      <c r="I26" s="103"/>
      <c r="J26" s="103"/>
      <c r="K26" s="127"/>
      <c r="L26" s="127"/>
    </row>
    <row r="27" spans="1:256" x14ac:dyDescent="0.3">
      <c r="A27" s="222"/>
      <c r="B27" s="203" t="s">
        <v>183</v>
      </c>
      <c r="C27" s="204"/>
      <c r="D27" s="205"/>
      <c r="E27" s="205"/>
      <c r="F27" s="206">
        <v>684</v>
      </c>
      <c r="G27" s="131"/>
      <c r="H27" s="119"/>
      <c r="I27" s="103"/>
      <c r="J27" s="103"/>
    </row>
    <row r="28" spans="1:256" x14ac:dyDescent="0.3">
      <c r="B28" s="124" t="s">
        <v>12</v>
      </c>
      <c r="C28" s="133"/>
      <c r="D28" s="126">
        <f>SUM(D18:D26)</f>
        <v>5246.7999999999993</v>
      </c>
      <c r="E28" s="126">
        <f>SUM(E18:E26)</f>
        <v>6637.7596000000021</v>
      </c>
      <c r="F28" s="126">
        <f>SUM(F18:F27)</f>
        <v>80337.115200000015</v>
      </c>
      <c r="J28" s="127">
        <f>F28-F18</f>
        <v>52492.315200000012</v>
      </c>
      <c r="L28" s="127"/>
    </row>
    <row r="29" spans="1:256" x14ac:dyDescent="0.3">
      <c r="B29" s="103"/>
      <c r="C29" s="103"/>
      <c r="D29" s="134"/>
      <c r="E29" s="108"/>
      <c r="F29" s="135">
        <f>F15+F28</f>
        <v>157673.65919999999</v>
      </c>
      <c r="G29" s="103"/>
      <c r="H29" s="103"/>
      <c r="I29" s="103"/>
      <c r="J29" s="103"/>
    </row>
    <row r="30" spans="1:256" x14ac:dyDescent="0.3">
      <c r="A30" s="207" t="s">
        <v>25</v>
      </c>
      <c r="B30" s="104" t="s">
        <v>162</v>
      </c>
      <c r="C30" s="105" t="s">
        <v>80</v>
      </c>
      <c r="D30" s="105" t="s">
        <v>81</v>
      </c>
      <c r="E30" s="105" t="s">
        <v>78</v>
      </c>
      <c r="F30" s="105" t="s">
        <v>79</v>
      </c>
    </row>
    <row r="31" spans="1:256" ht="31.5" customHeight="1" x14ac:dyDescent="0.3">
      <c r="B31" s="136" t="s">
        <v>20</v>
      </c>
      <c r="C31" s="137">
        <v>12</v>
      </c>
      <c r="D31" s="138">
        <v>250</v>
      </c>
      <c r="E31" s="139">
        <f>C31*D31</f>
        <v>3000</v>
      </c>
      <c r="F31" s="140" t="s">
        <v>128</v>
      </c>
      <c r="G31" s="103"/>
      <c r="H31" s="103"/>
      <c r="I31" s="103"/>
      <c r="J31" s="103"/>
      <c r="K31" s="127"/>
      <c r="L31" s="127"/>
    </row>
    <row r="32" spans="1:256" ht="33.75" customHeight="1" x14ac:dyDescent="0.3">
      <c r="B32" s="141" t="s">
        <v>21</v>
      </c>
      <c r="C32" s="137">
        <v>12</v>
      </c>
      <c r="D32" s="138">
        <f>E32/12</f>
        <v>497.09280701754386</v>
      </c>
      <c r="E32" s="139">
        <v>5965.1136842105261</v>
      </c>
      <c r="F32" s="142" t="s">
        <v>83</v>
      </c>
      <c r="G32" s="103"/>
      <c r="H32" s="103"/>
      <c r="I32" s="103"/>
      <c r="J32" s="103"/>
      <c r="L32" s="127"/>
    </row>
    <row r="33" spans="1:256" s="148" customFormat="1" ht="36" customHeight="1" x14ac:dyDescent="0.25">
      <c r="A33" s="143"/>
      <c r="B33" s="144" t="s">
        <v>157</v>
      </c>
      <c r="C33" s="137">
        <v>3</v>
      </c>
      <c r="D33" s="145"/>
      <c r="E33" s="139">
        <f>8496+78.67</f>
        <v>8574.67</v>
      </c>
      <c r="F33" s="144" t="s">
        <v>175</v>
      </c>
      <c r="G33" s="146"/>
      <c r="H33" s="146"/>
      <c r="I33" s="146"/>
      <c r="J33" s="147"/>
      <c r="K33" s="143"/>
      <c r="L33" s="197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</row>
    <row r="34" spans="1:256" s="108" customFormat="1" ht="36" customHeight="1" x14ac:dyDescent="0.3">
      <c r="A34" s="103"/>
      <c r="B34" s="151" t="s">
        <v>84</v>
      </c>
      <c r="C34" s="152">
        <v>12</v>
      </c>
      <c r="D34" s="150">
        <f>E34/12</f>
        <v>666.66666666666663</v>
      </c>
      <c r="E34" s="230">
        <v>8000</v>
      </c>
      <c r="F34" s="149" t="s">
        <v>153</v>
      </c>
      <c r="G34" s="146"/>
      <c r="H34" s="146"/>
      <c r="I34" s="146"/>
      <c r="J34" s="103"/>
      <c r="K34" s="118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</row>
    <row r="35" spans="1:256" s="108" customFormat="1" ht="18" customHeight="1" x14ac:dyDescent="0.3">
      <c r="A35" s="103"/>
      <c r="B35" s="208" t="s">
        <v>178</v>
      </c>
      <c r="C35" s="209"/>
      <c r="D35" s="210"/>
      <c r="E35" s="211"/>
      <c r="F35" s="212"/>
      <c r="G35" s="146"/>
      <c r="H35" s="146"/>
      <c r="I35" s="146"/>
      <c r="J35" s="103"/>
      <c r="K35" s="118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</row>
    <row r="36" spans="1:256" s="155" customFormat="1" ht="30" customHeight="1" x14ac:dyDescent="0.3">
      <c r="A36" s="153"/>
      <c r="B36" s="154" t="s">
        <v>160</v>
      </c>
      <c r="C36" s="152">
        <v>1</v>
      </c>
      <c r="D36" s="156"/>
      <c r="E36" s="156">
        <v>6521</v>
      </c>
      <c r="F36" s="194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</row>
    <row r="37" spans="1:256" s="155" customFormat="1" ht="19.5" customHeight="1" x14ac:dyDescent="0.3">
      <c r="B37" s="154" t="s">
        <v>161</v>
      </c>
      <c r="C37" s="152">
        <v>1</v>
      </c>
      <c r="D37" s="145"/>
      <c r="E37" s="145">
        <v>5500</v>
      </c>
      <c r="F37" s="157"/>
    </row>
    <row r="38" spans="1:256" s="155" customFormat="1" ht="33" customHeight="1" x14ac:dyDescent="0.3">
      <c r="A38" s="153"/>
      <c r="B38" s="233" t="s">
        <v>185</v>
      </c>
      <c r="C38" s="234">
        <v>21</v>
      </c>
      <c r="D38" s="235">
        <v>20</v>
      </c>
      <c r="E38" s="236">
        <v>420</v>
      </c>
      <c r="F38" s="237" t="s">
        <v>192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</row>
    <row r="39" spans="1:256" s="155" customFormat="1" ht="20.25" customHeight="1" x14ac:dyDescent="0.3">
      <c r="A39" s="153"/>
      <c r="B39" s="233" t="s">
        <v>186</v>
      </c>
      <c r="C39" s="234"/>
      <c r="D39" s="235"/>
      <c r="E39" s="236">
        <v>450</v>
      </c>
      <c r="F39" s="238" t="s">
        <v>187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  <c r="IB39" s="153"/>
      <c r="IC39" s="153"/>
      <c r="ID39" s="153"/>
      <c r="IE39" s="153"/>
      <c r="IF39" s="153"/>
      <c r="IG39" s="153"/>
      <c r="IH39" s="153"/>
      <c r="II39" s="153"/>
      <c r="IJ39" s="153"/>
      <c r="IK39" s="153"/>
      <c r="IL39" s="153"/>
      <c r="IM39" s="153"/>
      <c r="IN39" s="153"/>
      <c r="IO39" s="153"/>
      <c r="IP39" s="153"/>
      <c r="IQ39" s="153"/>
      <c r="IR39" s="153"/>
      <c r="IS39" s="153"/>
      <c r="IT39" s="153"/>
      <c r="IU39" s="153"/>
      <c r="IV39" s="153"/>
    </row>
    <row r="40" spans="1:256" s="155" customFormat="1" ht="32.25" customHeight="1" x14ac:dyDescent="0.3">
      <c r="A40" s="153"/>
      <c r="B40" s="239" t="s">
        <v>188</v>
      </c>
      <c r="C40" s="234"/>
      <c r="D40" s="235"/>
      <c r="E40" s="236">
        <v>386</v>
      </c>
      <c r="F40" s="238" t="s">
        <v>189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 s="155" customFormat="1" ht="21.75" customHeight="1" x14ac:dyDescent="0.3">
      <c r="A41" s="153"/>
      <c r="B41" s="154" t="s">
        <v>163</v>
      </c>
      <c r="C41" s="152">
        <v>1</v>
      </c>
      <c r="D41" s="145"/>
      <c r="E41" s="156">
        <v>9448</v>
      </c>
      <c r="F41" s="154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</row>
    <row r="42" spans="1:256" s="155" customFormat="1" ht="28.5" customHeight="1" x14ac:dyDescent="0.3">
      <c r="A42" s="153"/>
      <c r="B42" s="214" t="s">
        <v>164</v>
      </c>
      <c r="C42" s="215"/>
      <c r="D42" s="216"/>
      <c r="E42" s="217"/>
      <c r="F42" s="214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</row>
    <row r="43" spans="1:256" s="155" customFormat="1" ht="18" customHeight="1" x14ac:dyDescent="0.3">
      <c r="A43" s="153"/>
      <c r="B43" s="158" t="s">
        <v>165</v>
      </c>
      <c r="C43" s="152">
        <v>1</v>
      </c>
      <c r="D43" s="145"/>
      <c r="E43" s="156">
        <v>526</v>
      </c>
      <c r="F43" s="154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</row>
    <row r="44" spans="1:256" s="155" customFormat="1" ht="18" customHeight="1" x14ac:dyDescent="0.3">
      <c r="A44" s="153"/>
      <c r="B44" s="158" t="s">
        <v>176</v>
      </c>
      <c r="C44" s="152">
        <v>1</v>
      </c>
      <c r="D44" s="145"/>
      <c r="E44" s="156">
        <v>200</v>
      </c>
      <c r="F44" s="154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</row>
    <row r="45" spans="1:256" s="155" customFormat="1" ht="33" customHeight="1" x14ac:dyDescent="0.3">
      <c r="A45" s="153"/>
      <c r="B45" s="154" t="s">
        <v>166</v>
      </c>
      <c r="C45" s="152">
        <v>1</v>
      </c>
      <c r="D45" s="145"/>
      <c r="E45" s="156">
        <v>350</v>
      </c>
      <c r="F45" s="154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</row>
    <row r="46" spans="1:256" s="155" customFormat="1" ht="21.75" customHeight="1" x14ac:dyDescent="0.3">
      <c r="A46" s="153"/>
      <c r="B46" s="158" t="s">
        <v>167</v>
      </c>
      <c r="C46" s="152"/>
      <c r="D46" s="145"/>
      <c r="E46" s="156">
        <v>90</v>
      </c>
      <c r="F46" s="154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</row>
    <row r="47" spans="1:256" s="155" customFormat="1" ht="19.5" customHeight="1" x14ac:dyDescent="0.3">
      <c r="A47" s="153"/>
      <c r="B47" s="219" t="s">
        <v>168</v>
      </c>
      <c r="C47" s="209"/>
      <c r="D47" s="213"/>
      <c r="E47" s="210"/>
      <c r="F47" s="218"/>
      <c r="G47" s="153"/>
      <c r="H47" s="153"/>
      <c r="I47" s="153"/>
      <c r="J47" s="153"/>
      <c r="K47" s="153" t="s">
        <v>191</v>
      </c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</row>
    <row r="48" spans="1:256" s="155" customFormat="1" ht="31.2" hidden="1" x14ac:dyDescent="0.3">
      <c r="A48" s="153"/>
      <c r="B48" s="220" t="s">
        <v>181</v>
      </c>
      <c r="C48" s="152">
        <v>1</v>
      </c>
      <c r="D48" s="145"/>
      <c r="E48" s="156">
        <v>1800</v>
      </c>
      <c r="F48" s="157" t="s">
        <v>182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</row>
    <row r="49" spans="1:256" s="155" customFormat="1" ht="31.8" x14ac:dyDescent="0.35">
      <c r="A49" s="153"/>
      <c r="B49" s="240" t="s">
        <v>190</v>
      </c>
      <c r="C49" s="234">
        <v>1</v>
      </c>
      <c r="D49" s="235"/>
      <c r="E49" s="236">
        <v>600</v>
      </c>
      <c r="F49" s="238"/>
      <c r="G49" s="153"/>
      <c r="H49" s="153"/>
      <c r="I49" s="153"/>
      <c r="J49" s="153"/>
      <c r="K49" s="242" t="s">
        <v>12</v>
      </c>
      <c r="L49" s="241">
        <f>E38+E39+E40+E49</f>
        <v>1856</v>
      </c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  <c r="IV49" s="153"/>
    </row>
    <row r="50" spans="1:256" s="155" customFormat="1" ht="34.5" customHeight="1" x14ac:dyDescent="0.3">
      <c r="A50" s="153"/>
      <c r="B50" s="220" t="s">
        <v>177</v>
      </c>
      <c r="C50" s="152">
        <v>1</v>
      </c>
      <c r="D50" s="145"/>
      <c r="E50" s="156">
        <v>200</v>
      </c>
      <c r="F50" s="157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  <c r="HO50" s="153"/>
      <c r="HP50" s="153"/>
      <c r="HQ50" s="153"/>
      <c r="HR50" s="153"/>
      <c r="HS50" s="153"/>
      <c r="HT50" s="153"/>
      <c r="HU50" s="153"/>
      <c r="HV50" s="153"/>
      <c r="HW50" s="153"/>
      <c r="HX50" s="153"/>
      <c r="HY50" s="153"/>
      <c r="HZ50" s="153"/>
      <c r="IA50" s="153"/>
      <c r="IB50" s="153"/>
      <c r="IC50" s="153"/>
      <c r="ID50" s="153"/>
      <c r="IE50" s="153"/>
      <c r="IF50" s="153"/>
      <c r="IG50" s="153"/>
      <c r="IH50" s="153"/>
      <c r="II50" s="153"/>
      <c r="IJ50" s="153"/>
      <c r="IK50" s="153"/>
      <c r="IL50" s="153"/>
      <c r="IM50" s="153"/>
      <c r="IN50" s="153"/>
      <c r="IO50" s="153"/>
      <c r="IP50" s="153"/>
      <c r="IQ50" s="153"/>
      <c r="IR50" s="153"/>
      <c r="IS50" s="153"/>
      <c r="IT50" s="153"/>
      <c r="IU50" s="153"/>
      <c r="IV50" s="153"/>
    </row>
    <row r="51" spans="1:256" s="155" customFormat="1" ht="21" customHeight="1" x14ac:dyDescent="0.3">
      <c r="A51" s="153"/>
      <c r="B51" s="214" t="s">
        <v>169</v>
      </c>
      <c r="C51" s="209"/>
      <c r="D51" s="213"/>
      <c r="E51" s="210"/>
      <c r="F51" s="218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  <c r="IU51" s="153"/>
      <c r="IV51" s="153"/>
    </row>
    <row r="52" spans="1:256" s="155" customFormat="1" ht="34.5" customHeight="1" x14ac:dyDescent="0.3">
      <c r="A52" s="153"/>
      <c r="B52" s="231" t="s">
        <v>170</v>
      </c>
      <c r="C52" s="152">
        <v>1</v>
      </c>
      <c r="D52" s="145"/>
      <c r="E52" s="156">
        <v>166</v>
      </c>
      <c r="F52" s="157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  <c r="HM52" s="153"/>
      <c r="HN52" s="153"/>
      <c r="HO52" s="153"/>
      <c r="HP52" s="153"/>
      <c r="HQ52" s="153"/>
      <c r="HR52" s="153"/>
      <c r="HS52" s="153"/>
      <c r="HT52" s="153"/>
      <c r="HU52" s="153"/>
      <c r="HV52" s="153"/>
      <c r="HW52" s="153"/>
      <c r="HX52" s="153"/>
      <c r="HY52" s="153"/>
      <c r="HZ52" s="153"/>
      <c r="IA52" s="153"/>
      <c r="IB52" s="153"/>
      <c r="IC52" s="153"/>
      <c r="ID52" s="153"/>
      <c r="IE52" s="153"/>
      <c r="IF52" s="153"/>
      <c r="IG52" s="153"/>
      <c r="IH52" s="153"/>
      <c r="II52" s="153"/>
      <c r="IJ52" s="153"/>
      <c r="IK52" s="153"/>
      <c r="IL52" s="153"/>
      <c r="IM52" s="153"/>
      <c r="IN52" s="153"/>
      <c r="IO52" s="153"/>
      <c r="IP52" s="153"/>
      <c r="IQ52" s="153"/>
      <c r="IR52" s="153"/>
      <c r="IS52" s="153"/>
      <c r="IT52" s="153"/>
      <c r="IU52" s="153"/>
      <c r="IV52" s="153"/>
    </row>
    <row r="53" spans="1:256" s="155" customFormat="1" ht="34.5" customHeight="1" x14ac:dyDescent="0.3">
      <c r="A53" s="153"/>
      <c r="B53" s="220" t="s">
        <v>179</v>
      </c>
      <c r="C53" s="152">
        <v>2</v>
      </c>
      <c r="D53" s="145"/>
      <c r="E53" s="156">
        <v>100</v>
      </c>
      <c r="F53" s="154" t="s">
        <v>180</v>
      </c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</row>
    <row r="54" spans="1:256" s="155" customFormat="1" ht="22.5" customHeight="1" x14ac:dyDescent="0.3">
      <c r="A54" s="153"/>
      <c r="B54" s="154" t="s">
        <v>173</v>
      </c>
      <c r="C54" s="152">
        <v>2</v>
      </c>
      <c r="D54" s="145"/>
      <c r="E54" s="156">
        <v>300</v>
      </c>
      <c r="F54" s="154" t="s">
        <v>174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  <c r="IJ54" s="153"/>
      <c r="IK54" s="153"/>
      <c r="IL54" s="153"/>
      <c r="IM54" s="153"/>
      <c r="IN54" s="153"/>
      <c r="IO54" s="153"/>
      <c r="IP54" s="153"/>
      <c r="IQ54" s="153"/>
      <c r="IR54" s="153"/>
      <c r="IS54" s="153"/>
      <c r="IT54" s="153"/>
      <c r="IU54" s="153"/>
      <c r="IV54" s="153"/>
    </row>
    <row r="55" spans="1:256" s="155" customFormat="1" x14ac:dyDescent="0.3">
      <c r="A55" s="101"/>
      <c r="B55" s="124" t="s">
        <v>12</v>
      </c>
      <c r="C55" s="125"/>
      <c r="D55" s="126"/>
      <c r="E55" s="126">
        <f>SUM(E31:E54)-E48</f>
        <v>50796.783684210524</v>
      </c>
      <c r="F55" s="126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</row>
    <row r="56" spans="1:256" s="155" customFormat="1" x14ac:dyDescent="0.3">
      <c r="A56" s="143"/>
      <c r="B56" s="158" t="s">
        <v>111</v>
      </c>
      <c r="C56" s="159"/>
      <c r="D56" s="159"/>
      <c r="E56" s="159"/>
      <c r="F56" s="160">
        <f>517.88*3+432.75*2+418.37+418.37*4</f>
        <v>4510.99</v>
      </c>
      <c r="G56" s="161"/>
      <c r="H56" s="162"/>
      <c r="I56" s="162"/>
      <c r="J56" s="163"/>
      <c r="K56" s="143"/>
      <c r="L56" s="143"/>
      <c r="M56" s="197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  <c r="IU56" s="143"/>
      <c r="IV56" s="143"/>
    </row>
    <row r="57" spans="1:256" s="155" customFormat="1" x14ac:dyDescent="0.3">
      <c r="A57" s="164"/>
      <c r="B57" s="165" t="s">
        <v>112</v>
      </c>
      <c r="C57" s="166">
        <v>0.05</v>
      </c>
      <c r="D57" s="167"/>
      <c r="E57" s="168"/>
      <c r="F57" s="169">
        <f>(F58-F56)*C57</f>
        <v>10423.522144210527</v>
      </c>
      <c r="G57" s="161"/>
      <c r="H57" s="170"/>
      <c r="I57" s="170"/>
      <c r="J57" s="170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64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  <c r="IK57" s="164"/>
      <c r="IL57" s="164"/>
      <c r="IM57" s="164"/>
      <c r="IN57" s="164"/>
      <c r="IO57" s="164"/>
      <c r="IP57" s="164"/>
      <c r="IQ57" s="164"/>
      <c r="IR57" s="164"/>
      <c r="IS57" s="164"/>
      <c r="IT57" s="164"/>
      <c r="IU57" s="164"/>
      <c r="IV57" s="164"/>
    </row>
    <row r="58" spans="1:256" s="155" customFormat="1" x14ac:dyDescent="0.3">
      <c r="A58" s="101"/>
      <c r="B58" s="171" t="s">
        <v>22</v>
      </c>
      <c r="C58" s="172"/>
      <c r="D58" s="172"/>
      <c r="E58" s="173"/>
      <c r="F58" s="173">
        <f>F15+F28+E55+F56</f>
        <v>212981.43288421052</v>
      </c>
      <c r="G58" s="103"/>
      <c r="H58" s="103"/>
      <c r="I58" s="103"/>
      <c r="J58" s="103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  <c r="IV58" s="101"/>
    </row>
    <row r="59" spans="1:256" s="155" customFormat="1" ht="18" x14ac:dyDescent="0.35">
      <c r="A59" s="101"/>
      <c r="B59" s="225" t="s">
        <v>23</v>
      </c>
      <c r="C59" s="226"/>
      <c r="D59" s="227">
        <f>F59/12</f>
        <v>18617.079585701755</v>
      </c>
      <c r="E59" s="226"/>
      <c r="F59" s="228">
        <f>F58+F57</f>
        <v>223404.95502842104</v>
      </c>
      <c r="G59" s="103"/>
      <c r="H59" s="103"/>
      <c r="I59" s="103"/>
      <c r="J59" s="103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  <c r="IV59" s="101"/>
    </row>
    <row r="60" spans="1:256" s="155" customFormat="1" ht="20.399999999999999" x14ac:dyDescent="0.35">
      <c r="A60" s="207" t="s">
        <v>159</v>
      </c>
      <c r="B60" s="223" t="s">
        <v>171</v>
      </c>
      <c r="C60" s="174"/>
      <c r="D60" s="198"/>
      <c r="E60" s="174"/>
      <c r="F60" s="229" t="s">
        <v>184</v>
      </c>
      <c r="G60" s="101"/>
      <c r="H60" s="101"/>
      <c r="I60" s="101"/>
      <c r="J60" s="101"/>
      <c r="K60" s="101"/>
      <c r="L60" s="127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</row>
    <row r="61" spans="1:256" s="148" customFormat="1" x14ac:dyDescent="0.3">
      <c r="A61" s="101"/>
      <c r="B61" s="102" t="s">
        <v>114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</row>
    <row r="62" spans="1:256" s="175" customFormat="1" ht="16.2" thickBot="1" x14ac:dyDescent="0.35">
      <c r="A62" s="101"/>
      <c r="B62" s="102" t="s">
        <v>109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  <c r="IV62" s="101"/>
    </row>
    <row r="63" spans="1:256" ht="64.5" customHeight="1" x14ac:dyDescent="0.3">
      <c r="B63" s="324" t="s">
        <v>24</v>
      </c>
      <c r="C63" s="176">
        <v>71400</v>
      </c>
      <c r="D63" s="177">
        <f>F28+F56-517.88*3-F18</f>
        <v>55449.665200000018</v>
      </c>
      <c r="E63" s="178"/>
      <c r="F63" s="179" t="s">
        <v>145</v>
      </c>
      <c r="K63" s="329"/>
      <c r="L63" s="127"/>
      <c r="M63" s="127"/>
    </row>
    <row r="64" spans="1:256" ht="21.75" customHeight="1" thickBot="1" x14ac:dyDescent="0.35">
      <c r="B64" s="325"/>
      <c r="C64" s="180">
        <v>61200</v>
      </c>
      <c r="D64" s="181">
        <f>F18</f>
        <v>27844.800000000003</v>
      </c>
      <c r="E64" s="180"/>
      <c r="F64" s="182" t="s">
        <v>148</v>
      </c>
      <c r="K64" s="330"/>
      <c r="L64" s="127"/>
    </row>
    <row r="65" spans="2:12" ht="16.2" thickBot="1" x14ac:dyDescent="0.35">
      <c r="B65" s="232" t="s">
        <v>25</v>
      </c>
      <c r="C65" s="183">
        <v>73120</v>
      </c>
      <c r="D65" s="184">
        <f>E55+F57</f>
        <v>61220.305828421049</v>
      </c>
      <c r="E65" s="183"/>
      <c r="F65" s="185" t="s">
        <v>172</v>
      </c>
      <c r="L65" s="127"/>
    </row>
    <row r="66" spans="2:12" ht="34.5" customHeight="1" x14ac:dyDescent="0.3">
      <c r="B66" s="326" t="s">
        <v>26</v>
      </c>
      <c r="C66" s="186">
        <v>71400</v>
      </c>
      <c r="D66" s="187">
        <f>F15+517.88*3-F14</f>
        <v>76293.923999999999</v>
      </c>
      <c r="E66" s="186"/>
      <c r="F66" s="188" t="s">
        <v>115</v>
      </c>
      <c r="L66" s="127"/>
    </row>
    <row r="67" spans="2:12" ht="16.2" thickBot="1" x14ac:dyDescent="0.35">
      <c r="B67" s="327"/>
      <c r="C67" s="180">
        <v>71405</v>
      </c>
      <c r="D67" s="181">
        <f>F14</f>
        <v>2596.2600000000002</v>
      </c>
      <c r="E67" s="180"/>
      <c r="F67" s="182" t="s">
        <v>116</v>
      </c>
      <c r="L67" s="127"/>
    </row>
    <row r="68" spans="2:12" ht="16.2" thickBot="1" x14ac:dyDescent="0.35">
      <c r="B68" s="189" t="s">
        <v>77</v>
      </c>
      <c r="C68" s="190"/>
      <c r="D68" s="191">
        <f>SUM(D63:D67)</f>
        <v>223404.95502842107</v>
      </c>
      <c r="E68" s="192"/>
      <c r="F68" s="193"/>
      <c r="L68" s="127"/>
    </row>
    <row r="70" spans="2:12" x14ac:dyDescent="0.3">
      <c r="D70" s="113"/>
      <c r="L70" s="127"/>
    </row>
    <row r="71" spans="2:12" x14ac:dyDescent="0.3">
      <c r="D71" s="127"/>
      <c r="E71" s="127"/>
      <c r="F71" s="127"/>
    </row>
    <row r="72" spans="2:12" x14ac:dyDescent="0.3">
      <c r="F72" s="127"/>
    </row>
    <row r="73" spans="2:12" x14ac:dyDescent="0.3">
      <c r="F73" s="127"/>
    </row>
  </sheetData>
  <mergeCells count="3">
    <mergeCell ref="B63:B64"/>
    <mergeCell ref="K63:K64"/>
    <mergeCell ref="B66:B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"/>
  <sheetViews>
    <sheetView workbookViewId="0">
      <selection activeCell="H27" sqref="H27"/>
    </sheetView>
  </sheetViews>
  <sheetFormatPr defaultRowHeight="13.2" x14ac:dyDescent="0.25"/>
  <cols>
    <col min="1" max="1" width="3.33203125" customWidth="1"/>
    <col min="4" max="4" width="11.44140625" customWidth="1"/>
    <col min="5" max="5" width="12.33203125" customWidth="1"/>
    <col min="6" max="6" width="13.6640625" customWidth="1"/>
    <col min="7" max="7" width="11.88671875" customWidth="1"/>
    <col min="8" max="8" width="15.5546875" customWidth="1"/>
    <col min="9" max="9" width="11.44140625" customWidth="1"/>
    <col min="10" max="10" width="10.6640625" customWidth="1"/>
    <col min="13" max="13" width="10.109375" bestFit="1" customWidth="1"/>
  </cols>
  <sheetData>
    <row r="2" spans="1:8" ht="15.6" x14ac:dyDescent="0.3">
      <c r="B2" s="27" t="s">
        <v>204</v>
      </c>
      <c r="H2" s="7"/>
    </row>
    <row r="3" spans="1:8" ht="26.4" x14ac:dyDescent="0.25">
      <c r="A3" s="28" t="s">
        <v>1</v>
      </c>
      <c r="B3" s="28" t="s">
        <v>58</v>
      </c>
      <c r="C3" s="28" t="s">
        <v>225</v>
      </c>
      <c r="D3" s="28" t="s">
        <v>228</v>
      </c>
      <c r="E3" s="28" t="s">
        <v>227</v>
      </c>
      <c r="F3" s="28" t="s">
        <v>229</v>
      </c>
      <c r="G3" s="28" t="s">
        <v>230</v>
      </c>
      <c r="H3" s="28" t="s">
        <v>59</v>
      </c>
    </row>
    <row r="4" spans="1:8" ht="15" customHeight="1" x14ac:dyDescent="0.25">
      <c r="A4" s="5">
        <v>1</v>
      </c>
      <c r="B4" s="26" t="s">
        <v>40</v>
      </c>
      <c r="C4" s="29">
        <f>'Cost_sharing_formula Act1&amp;3'!C21</f>
        <v>0.4007599271734158</v>
      </c>
      <c r="D4" s="297">
        <f>C4*'Costs for 2015'!D49</f>
        <v>4325.5480878644439</v>
      </c>
      <c r="E4" s="294">
        <f>'cost-sharing formula Act4'!C21</f>
        <v>0.41208590327001482</v>
      </c>
      <c r="F4" s="297">
        <f>E4*'Costs for 2015'!D50</f>
        <v>2549.5342749412544</v>
      </c>
      <c r="G4" s="92">
        <f>D4+F4</f>
        <v>6875.0823628056987</v>
      </c>
      <c r="H4" s="92">
        <f>Budget!B61</f>
        <v>82500.988353668377</v>
      </c>
    </row>
    <row r="5" spans="1:8" ht="15" customHeight="1" x14ac:dyDescent="0.25">
      <c r="A5" s="5">
        <v>2</v>
      </c>
      <c r="B5" s="5" t="s">
        <v>42</v>
      </c>
      <c r="C5" s="29">
        <f>'Cost_sharing_formula Act1&amp;3'!D21</f>
        <v>0.1135539167850937</v>
      </c>
      <c r="D5" s="297">
        <f>C5*'Costs for 2015'!D49</f>
        <v>1225.6288473840768</v>
      </c>
      <c r="E5" s="294">
        <f>'cost-sharing formula Act4'!D21</f>
        <v>0.11587588408667271</v>
      </c>
      <c r="F5" s="297">
        <f>E5*'Costs for 2015'!D50</f>
        <v>716.91250725583518</v>
      </c>
      <c r="G5" s="92">
        <f>D5+F5+'Costs for 2015'!D51</f>
        <v>2158.8963546399118</v>
      </c>
      <c r="H5" s="92">
        <f>Budget!B62</f>
        <v>25906.756255678949</v>
      </c>
    </row>
    <row r="6" spans="1:8" ht="15" customHeight="1" x14ac:dyDescent="0.25">
      <c r="A6" s="5">
        <v>3</v>
      </c>
      <c r="B6" s="5" t="s">
        <v>44</v>
      </c>
      <c r="C6" s="29">
        <f>'Cost_sharing_formula Act1&amp;3'!E21</f>
        <v>0.22118992578777236</v>
      </c>
      <c r="D6" s="297">
        <f>C6*'Costs for 2015'!D49</f>
        <v>2387.383557269105</v>
      </c>
      <c r="E6" s="294">
        <f>'cost-sharing formula Act4'!E21</f>
        <v>0.22760614472248564</v>
      </c>
      <c r="F6" s="297">
        <f>E6*'Costs for 2015'!D50</f>
        <v>1408.1764567835462</v>
      </c>
      <c r="G6" s="92">
        <f t="shared" ref="G6:G11" si="0">D6+F6</f>
        <v>3795.5600140526512</v>
      </c>
      <c r="H6" s="92">
        <f>Budget!B63</f>
        <v>45546.720168631815</v>
      </c>
    </row>
    <row r="7" spans="1:8" ht="15" customHeight="1" x14ac:dyDescent="0.25">
      <c r="A7" s="5">
        <v>4</v>
      </c>
      <c r="B7" s="5" t="s">
        <v>45</v>
      </c>
      <c r="C7" s="29">
        <f>'Cost_sharing_formula Act1&amp;3'!F21</f>
        <v>0.11352156516318448</v>
      </c>
      <c r="D7" s="297">
        <f>C7*'Costs for 2015'!D49</f>
        <v>1225.2796645272088</v>
      </c>
      <c r="E7" s="294">
        <f>'cost-sharing formula Act4'!F21</f>
        <v>0.11677039859756733</v>
      </c>
      <c r="F7" s="297">
        <f>E7*'Costs for 2015'!D50</f>
        <v>722.44677908328913</v>
      </c>
      <c r="G7" s="92">
        <f t="shared" si="0"/>
        <v>1947.7264436104979</v>
      </c>
      <c r="H7" s="92">
        <f>Budget!B64</f>
        <v>23372.717323325975</v>
      </c>
    </row>
    <row r="8" spans="1:8" ht="15" customHeight="1" x14ac:dyDescent="0.25">
      <c r="A8" s="5">
        <v>6</v>
      </c>
      <c r="B8" s="5" t="s">
        <v>47</v>
      </c>
      <c r="C8" s="29">
        <f>'Cost_sharing_formula Act1&amp;3'!G21</f>
        <v>6.0123395436635758E-2</v>
      </c>
      <c r="D8" s="297">
        <f>C8*'Costs for 2015'!D49</f>
        <v>648.93373946123677</v>
      </c>
      <c r="E8" s="294">
        <f>'cost-sharing formula Act4'!G21</f>
        <v>6.2072798144989436E-2</v>
      </c>
      <c r="F8" s="297">
        <f>E8*'Costs for 2015'!D50</f>
        <v>384.03819484323503</v>
      </c>
      <c r="G8" s="92">
        <f t="shared" si="0"/>
        <v>1032.9719343044717</v>
      </c>
      <c r="H8" s="92">
        <f>Budget!B65</f>
        <v>12395.663211653664</v>
      </c>
    </row>
    <row r="9" spans="1:8" ht="15" customHeight="1" x14ac:dyDescent="0.25">
      <c r="A9" s="5">
        <v>7</v>
      </c>
      <c r="B9" s="5" t="s">
        <v>49</v>
      </c>
      <c r="C9" s="29">
        <f>'Cost_sharing_formula Act1&amp;3'!H21</f>
        <v>3.6039384671230898E-2</v>
      </c>
      <c r="D9" s="297">
        <f>C9*'Costs for 2015'!D49</f>
        <v>388.98622562379495</v>
      </c>
      <c r="E9" s="294">
        <f>'cost-sharing formula Act4'!H21</f>
        <v>3.7468192668424619E-2</v>
      </c>
      <c r="F9" s="297">
        <f>E9*'Costs for 2015'!D50</f>
        <v>231.81196122027623</v>
      </c>
      <c r="G9" s="92">
        <f t="shared" si="0"/>
        <v>620.79818684407121</v>
      </c>
      <c r="H9" s="92">
        <f>Budget!B66</f>
        <v>7449.5782421288541</v>
      </c>
    </row>
    <row r="10" spans="1:8" ht="15" customHeight="1" x14ac:dyDescent="0.25">
      <c r="A10" s="5">
        <v>8</v>
      </c>
      <c r="B10" s="5" t="s">
        <v>50</v>
      </c>
      <c r="C10" s="29">
        <f>'Cost_sharing_formula Act1&amp;3'!I21</f>
        <v>2.7625892102877053E-2</v>
      </c>
      <c r="D10" s="297">
        <f>C10*'Costs for 2015'!D49</f>
        <v>298.17633116157538</v>
      </c>
      <c r="E10" s="294">
        <f>'cost-sharing formula Act4'!I21</f>
        <v>0</v>
      </c>
      <c r="F10" s="297">
        <f>E10*'Costs for 2015'!D50</f>
        <v>0</v>
      </c>
      <c r="G10" s="92">
        <f t="shared" si="0"/>
        <v>298.17633116157538</v>
      </c>
      <c r="H10" s="92">
        <f>Budget!B67</f>
        <v>3578.115973938905</v>
      </c>
    </row>
    <row r="11" spans="1:8" ht="15" customHeight="1" x14ac:dyDescent="0.25">
      <c r="A11" s="5">
        <v>9</v>
      </c>
      <c r="B11" s="5" t="s">
        <v>52</v>
      </c>
      <c r="C11" s="29">
        <f>'Cost_sharing_formula Act1&amp;3'!J21</f>
        <v>2.7185992879789976E-2</v>
      </c>
      <c r="D11" s="297">
        <f>C11*'Costs for 2015'!D49</f>
        <v>293.42833837522585</v>
      </c>
      <c r="E11" s="294">
        <f>'cost-sharing formula Act4'!J21</f>
        <v>2.8120678509845429E-2</v>
      </c>
      <c r="F11" s="297">
        <f>E11*'Costs for 2015'!D50</f>
        <v>173.97982587256266</v>
      </c>
      <c r="G11" s="92">
        <f t="shared" si="0"/>
        <v>467.40816424778848</v>
      </c>
      <c r="H11" s="92">
        <f>Budget!B68</f>
        <v>5608.8979709734622</v>
      </c>
    </row>
    <row r="12" spans="1:8" ht="15" customHeight="1" x14ac:dyDescent="0.25">
      <c r="A12" s="331" t="s">
        <v>12</v>
      </c>
      <c r="B12" s="332"/>
      <c r="C12" s="30">
        <f t="shared" ref="C12:H12" si="1">SUM(C4:C11)</f>
        <v>1</v>
      </c>
      <c r="D12" s="31">
        <f t="shared" si="1"/>
        <v>10793.36479166667</v>
      </c>
      <c r="E12" s="295">
        <f t="shared" si="1"/>
        <v>1</v>
      </c>
      <c r="F12" s="296">
        <f t="shared" si="1"/>
        <v>6186.8999999999987</v>
      </c>
      <c r="G12" s="196">
        <f t="shared" si="1"/>
        <v>17196.619791666668</v>
      </c>
      <c r="H12" s="196">
        <f t="shared" si="1"/>
        <v>206359.43749999997</v>
      </c>
    </row>
    <row r="13" spans="1:8" x14ac:dyDescent="0.25">
      <c r="D13" s="6"/>
    </row>
    <row r="15" spans="1:8" x14ac:dyDescent="0.25">
      <c r="E15" s="6"/>
      <c r="F15" s="6"/>
    </row>
    <row r="18" spans="5:5" x14ac:dyDescent="0.25">
      <c r="E18" s="96"/>
    </row>
    <row r="19" spans="5:5" x14ac:dyDescent="0.25">
      <c r="E19" s="96"/>
    </row>
    <row r="20" spans="5:5" x14ac:dyDescent="0.25">
      <c r="E20" s="97"/>
    </row>
    <row r="22" spans="5:5" x14ac:dyDescent="0.25">
      <c r="E22" s="6"/>
    </row>
    <row r="23" spans="5:5" x14ac:dyDescent="0.25">
      <c r="E23" s="97"/>
    </row>
  </sheetData>
  <mergeCells count="1">
    <mergeCell ref="A12:B12"/>
  </mergeCells>
  <phoneticPr fontId="0" type="noConversion"/>
  <conditionalFormatting sqref="E4:E11">
    <cfRule type="expression" priority="2" stopIfTrue="1">
      <formula>"rounded up to the nearest figure"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5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2" sqref="A2"/>
      <selection pane="bottomRight" activeCell="H55" sqref="H55"/>
    </sheetView>
  </sheetViews>
  <sheetFormatPr defaultRowHeight="13.2" x14ac:dyDescent="0.25"/>
  <cols>
    <col min="1" max="1" width="36" customWidth="1"/>
    <col min="2" max="2" width="15.33203125" style="56" customWidth="1"/>
    <col min="3" max="3" width="14.44140625" style="56" customWidth="1"/>
    <col min="4" max="4" width="14.109375" style="56" customWidth="1"/>
    <col min="5" max="5" width="14.5546875" style="56" customWidth="1"/>
    <col min="6" max="6" width="14.33203125" style="56" customWidth="1"/>
    <col min="7" max="7" width="12.88671875" style="56" customWidth="1"/>
    <col min="8" max="8" width="14.44140625" style="56" bestFit="1" customWidth="1"/>
    <col min="9" max="9" width="13.6640625" style="57" customWidth="1"/>
    <col min="10" max="10" width="14.44140625" style="56" bestFit="1" customWidth="1"/>
    <col min="11" max="11" width="15.33203125" style="56" customWidth="1"/>
    <col min="12" max="12" width="10.6640625" customWidth="1"/>
  </cols>
  <sheetData>
    <row r="1" spans="1:11" ht="29.25" customHeight="1" thickBot="1" x14ac:dyDescent="0.3">
      <c r="B1" s="347" t="s">
        <v>217</v>
      </c>
      <c r="C1" s="347"/>
      <c r="D1" s="347"/>
      <c r="E1" s="347"/>
      <c r="F1" s="347"/>
      <c r="G1" s="347"/>
      <c r="H1" s="347"/>
      <c r="I1" s="347"/>
    </row>
    <row r="2" spans="1:11" ht="21" customHeight="1" thickBot="1" x14ac:dyDescent="0.3">
      <c r="A2" s="32" t="s">
        <v>60</v>
      </c>
      <c r="B2" s="33" t="s">
        <v>61</v>
      </c>
      <c r="C2" s="33" t="s">
        <v>40</v>
      </c>
      <c r="D2" s="33" t="s">
        <v>42</v>
      </c>
      <c r="E2" s="33" t="s">
        <v>44</v>
      </c>
      <c r="F2" s="33" t="s">
        <v>45</v>
      </c>
      <c r="G2" s="33" t="s">
        <v>47</v>
      </c>
      <c r="H2" s="33" t="s">
        <v>49</v>
      </c>
      <c r="I2" s="33" t="s">
        <v>50</v>
      </c>
      <c r="J2" s="33" t="s">
        <v>52</v>
      </c>
      <c r="K2" s="34" t="s">
        <v>12</v>
      </c>
    </row>
    <row r="3" spans="1:11" ht="17.100000000000001" customHeight="1" thickTop="1" x14ac:dyDescent="0.25">
      <c r="A3" s="35" t="s">
        <v>62</v>
      </c>
      <c r="B3" s="36">
        <v>63.76</v>
      </c>
      <c r="C3" s="37">
        <v>22.71</v>
      </c>
      <c r="D3" s="37">
        <v>29.87</v>
      </c>
      <c r="E3" s="37">
        <v>22.71</v>
      </c>
      <c r="F3" s="37">
        <v>22.71</v>
      </c>
      <c r="G3" s="37">
        <v>0</v>
      </c>
      <c r="H3" s="37">
        <v>0</v>
      </c>
      <c r="I3" s="37">
        <v>0</v>
      </c>
      <c r="J3" s="37">
        <v>0</v>
      </c>
      <c r="K3" s="38">
        <f t="shared" ref="K3:K11" si="0">SUM(B3:J3)</f>
        <v>161.76000000000002</v>
      </c>
    </row>
    <row r="4" spans="1:11" ht="17.100000000000001" customHeight="1" x14ac:dyDescent="0.25">
      <c r="A4" s="35" t="s">
        <v>63</v>
      </c>
      <c r="B4" s="36">
        <v>426.31</v>
      </c>
      <c r="C4" s="37">
        <v>84.64</v>
      </c>
      <c r="D4" s="37">
        <v>101.61</v>
      </c>
      <c r="E4" s="37">
        <v>60.42</v>
      </c>
      <c r="F4" s="37">
        <v>25.4</v>
      </c>
      <c r="G4" s="37">
        <v>0</v>
      </c>
      <c r="H4" s="37">
        <v>0</v>
      </c>
      <c r="I4" s="37">
        <v>22.42</v>
      </c>
      <c r="J4" s="37">
        <v>0</v>
      </c>
      <c r="K4" s="38">
        <f t="shared" si="0"/>
        <v>720.79999999999984</v>
      </c>
    </row>
    <row r="5" spans="1:11" ht="17.100000000000001" customHeight="1" x14ac:dyDescent="0.25">
      <c r="A5" s="35" t="s">
        <v>64</v>
      </c>
      <c r="B5" s="36">
        <f>284.27-74.67-E5</f>
        <v>179.67999999999995</v>
      </c>
      <c r="C5" s="37">
        <f>117.55+74.67</f>
        <v>192.22</v>
      </c>
      <c r="D5" s="37">
        <v>129.88</v>
      </c>
      <c r="E5" s="37">
        <v>29.92</v>
      </c>
      <c r="F5" s="37">
        <v>0</v>
      </c>
      <c r="G5" s="37">
        <v>0</v>
      </c>
      <c r="H5" s="37">
        <v>35.4</v>
      </c>
      <c r="I5" s="86">
        <v>15.33</v>
      </c>
      <c r="J5" s="37">
        <v>36.54</v>
      </c>
      <c r="K5" s="38">
        <f t="shared" si="0"/>
        <v>618.96999999999991</v>
      </c>
    </row>
    <row r="6" spans="1:11" ht="17.100000000000001" customHeight="1" x14ac:dyDescent="0.25">
      <c r="A6" s="39" t="s">
        <v>65</v>
      </c>
      <c r="B6" s="36">
        <v>221.52</v>
      </c>
      <c r="C6" s="87">
        <v>407.64</v>
      </c>
      <c r="D6" s="40">
        <v>0</v>
      </c>
      <c r="E6" s="87">
        <v>19.399999999999999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1">
        <f t="shared" si="0"/>
        <v>648.55999999999995</v>
      </c>
    </row>
    <row r="7" spans="1:11" ht="17.100000000000001" customHeight="1" x14ac:dyDescent="0.25">
      <c r="A7" s="39" t="s">
        <v>66</v>
      </c>
      <c r="B7" s="36">
        <v>4.9400000000000004</v>
      </c>
      <c r="C7" s="40">
        <v>0</v>
      </c>
      <c r="D7" s="40">
        <v>0</v>
      </c>
      <c r="E7" s="40">
        <v>246.53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1">
        <f t="shared" si="0"/>
        <v>251.47</v>
      </c>
    </row>
    <row r="8" spans="1:11" ht="17.100000000000001" customHeight="1" x14ac:dyDescent="0.25">
      <c r="A8" s="39" t="s">
        <v>82</v>
      </c>
      <c r="B8" s="36">
        <v>48.23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1">
        <f t="shared" si="0"/>
        <v>48.23</v>
      </c>
    </row>
    <row r="9" spans="1:11" ht="17.100000000000001" customHeight="1" x14ac:dyDescent="0.25">
      <c r="A9" s="39" t="s">
        <v>67</v>
      </c>
      <c r="B9" s="36">
        <f>46.93+7.25+8.33</f>
        <v>62.51</v>
      </c>
      <c r="C9" s="40">
        <v>0</v>
      </c>
      <c r="D9" s="40">
        <v>0</v>
      </c>
      <c r="E9" s="40">
        <v>0</v>
      </c>
      <c r="F9" s="40">
        <f>113.75+35.68</f>
        <v>149.43</v>
      </c>
      <c r="G9" s="40">
        <f>58.97-7.25+37.18</f>
        <v>88.9</v>
      </c>
      <c r="H9" s="40">
        <v>0</v>
      </c>
      <c r="I9" s="40">
        <v>0</v>
      </c>
      <c r="J9" s="40">
        <v>0</v>
      </c>
      <c r="K9" s="41">
        <f t="shared" si="0"/>
        <v>300.84000000000003</v>
      </c>
    </row>
    <row r="10" spans="1:11" s="45" customFormat="1" ht="17.100000000000001" customHeight="1" x14ac:dyDescent="0.25">
      <c r="A10" s="42" t="s">
        <v>68</v>
      </c>
      <c r="B10" s="43">
        <f t="shared" ref="B10:G10" si="1">SUM(B3:B9)</f>
        <v>1006.95</v>
      </c>
      <c r="C10" s="44">
        <f t="shared" si="1"/>
        <v>707.21</v>
      </c>
      <c r="D10" s="44">
        <f t="shared" si="1"/>
        <v>261.36</v>
      </c>
      <c r="E10" s="43">
        <f t="shared" si="1"/>
        <v>378.98</v>
      </c>
      <c r="F10" s="44">
        <f>SUM(F3:F9)</f>
        <v>197.54000000000002</v>
      </c>
      <c r="G10" s="44">
        <f t="shared" si="1"/>
        <v>88.9</v>
      </c>
      <c r="H10" s="44">
        <f>SUM(H3:H9)</f>
        <v>35.4</v>
      </c>
      <c r="I10" s="44">
        <f>SUM(I3:I9)</f>
        <v>37.75</v>
      </c>
      <c r="J10" s="44">
        <f>SUM(J3:J9)</f>
        <v>36.54</v>
      </c>
      <c r="K10" s="41">
        <f t="shared" si="0"/>
        <v>2750.63</v>
      </c>
    </row>
    <row r="11" spans="1:11" ht="17.100000000000001" customHeight="1" thickBot="1" x14ac:dyDescent="0.3">
      <c r="A11" s="46" t="s">
        <v>69</v>
      </c>
      <c r="B11" s="251">
        <f>B10/K10</f>
        <v>0.36607977081614029</v>
      </c>
      <c r="C11" s="251">
        <f>C10/K10</f>
        <v>0.25710837153670252</v>
      </c>
      <c r="D11" s="251">
        <f>D10/K10</f>
        <v>9.5018232186808119E-2</v>
      </c>
      <c r="E11" s="251">
        <f>E10/K10</f>
        <v>0.13777934509548723</v>
      </c>
      <c r="F11" s="251">
        <f>F10/K10</f>
        <v>7.181627481704192E-2</v>
      </c>
      <c r="G11" s="251">
        <f>G10/$K$10</f>
        <v>3.2319868539207382E-2</v>
      </c>
      <c r="H11" s="251">
        <f>H10/$K$10</f>
        <v>1.2869778923373917E-2</v>
      </c>
      <c r="I11" s="251">
        <f>I10/$K$10</f>
        <v>1.3724128654162863E-2</v>
      </c>
      <c r="J11" s="251">
        <f>J10/K10</f>
        <v>1.3284229431075789E-2</v>
      </c>
      <c r="K11" s="251">
        <f t="shared" si="0"/>
        <v>1</v>
      </c>
    </row>
    <row r="12" spans="1:11" ht="14.25" customHeight="1" thickBot="1" x14ac:dyDescent="0.3">
      <c r="A12" s="47"/>
      <c r="B12" s="48"/>
      <c r="C12" s="252"/>
      <c r="D12" s="252"/>
      <c r="E12" s="253"/>
      <c r="F12" s="252"/>
      <c r="G12" s="252"/>
      <c r="H12" s="252"/>
      <c r="I12" s="252"/>
      <c r="J12" s="252"/>
      <c r="K12" s="49"/>
    </row>
    <row r="13" spans="1:11" ht="21" customHeight="1" thickBot="1" x14ac:dyDescent="0.3">
      <c r="A13" s="336" t="s">
        <v>70</v>
      </c>
      <c r="B13" s="337"/>
      <c r="C13" s="33" t="s">
        <v>40</v>
      </c>
      <c r="D13" s="33" t="s">
        <v>42</v>
      </c>
      <c r="E13" s="33" t="s">
        <v>44</v>
      </c>
      <c r="F13" s="33" t="s">
        <v>45</v>
      </c>
      <c r="G13" s="33" t="s">
        <v>47</v>
      </c>
      <c r="H13" s="33" t="s">
        <v>49</v>
      </c>
      <c r="I13" s="33" t="s">
        <v>50</v>
      </c>
      <c r="J13" s="33" t="s">
        <v>52</v>
      </c>
      <c r="K13" s="34" t="s">
        <v>12</v>
      </c>
    </row>
    <row r="14" spans="1:11" ht="17.100000000000001" customHeight="1" thickTop="1" x14ac:dyDescent="0.25">
      <c r="A14" s="338" t="s">
        <v>71</v>
      </c>
      <c r="B14" s="339"/>
      <c r="C14" s="303">
        <v>31</v>
      </c>
      <c r="D14" s="303">
        <v>4</v>
      </c>
      <c r="E14" s="303">
        <v>18</v>
      </c>
      <c r="F14" s="304">
        <v>9</v>
      </c>
      <c r="G14" s="304">
        <v>6</v>
      </c>
      <c r="H14" s="303">
        <v>5</v>
      </c>
      <c r="I14" s="303">
        <v>3</v>
      </c>
      <c r="J14" s="303">
        <v>3</v>
      </c>
      <c r="K14" s="254">
        <f>SUM(B14:J14)</f>
        <v>79</v>
      </c>
    </row>
    <row r="15" spans="1:11" ht="17.100000000000001" customHeight="1" x14ac:dyDescent="0.25">
      <c r="A15" s="348" t="s">
        <v>72</v>
      </c>
      <c r="B15" s="349"/>
      <c r="C15" s="255">
        <f>C14/K14</f>
        <v>0.39240506329113922</v>
      </c>
      <c r="D15" s="255">
        <f>D14/K14</f>
        <v>5.0632911392405063E-2</v>
      </c>
      <c r="E15" s="255">
        <f>E14/K14</f>
        <v>0.22784810126582278</v>
      </c>
      <c r="F15" s="255">
        <f>F14/K14</f>
        <v>0.11392405063291139</v>
      </c>
      <c r="G15" s="255">
        <f>G14/K14</f>
        <v>7.5949367088607597E-2</v>
      </c>
      <c r="H15" s="255">
        <f>H14/K14</f>
        <v>6.3291139240506333E-2</v>
      </c>
      <c r="I15" s="255">
        <f>I14/K14</f>
        <v>3.7974683544303799E-2</v>
      </c>
      <c r="J15" s="255">
        <f>J14/K14</f>
        <v>3.7974683544303799E-2</v>
      </c>
      <c r="K15" s="255">
        <f>SUM(B15:J15)</f>
        <v>0.99999999999999989</v>
      </c>
    </row>
    <row r="16" spans="1:11" ht="17.100000000000001" customHeight="1" thickBot="1" x14ac:dyDescent="0.3">
      <c r="A16" s="350" t="s">
        <v>73</v>
      </c>
      <c r="B16" s="351"/>
      <c r="C16" s="256">
        <f t="shared" ref="C16:J16" si="2">C15*$B$11</f>
        <v>0.14365155563671328</v>
      </c>
      <c r="D16" s="256">
        <f t="shared" si="2"/>
        <v>1.8535684598285584E-2</v>
      </c>
      <c r="E16" s="256">
        <f t="shared" si="2"/>
        <v>8.341058069228513E-2</v>
      </c>
      <c r="F16" s="256">
        <f t="shared" si="2"/>
        <v>4.1705290346142565E-2</v>
      </c>
      <c r="G16" s="256">
        <f t="shared" si="2"/>
        <v>2.7803526897428377E-2</v>
      </c>
      <c r="H16" s="256">
        <f t="shared" si="2"/>
        <v>2.3169605747856981E-2</v>
      </c>
      <c r="I16" s="256">
        <f t="shared" si="2"/>
        <v>1.3901763448714188E-2</v>
      </c>
      <c r="J16" s="256">
        <f t="shared" si="2"/>
        <v>1.3901763448714188E-2</v>
      </c>
      <c r="K16" s="256">
        <f>SUM(C16:J16)</f>
        <v>0.36607977081614029</v>
      </c>
    </row>
    <row r="17" spans="1:253" ht="15" customHeight="1" thickBot="1" x14ac:dyDescent="0.3">
      <c r="A17" s="47"/>
      <c r="B17" s="48"/>
      <c r="C17" s="252"/>
      <c r="D17" s="252"/>
      <c r="E17" s="253"/>
      <c r="F17" s="252"/>
      <c r="G17" s="252"/>
      <c r="H17" s="252"/>
      <c r="I17" s="252"/>
      <c r="J17" s="252"/>
      <c r="K17" s="252"/>
    </row>
    <row r="18" spans="1:253" ht="21" customHeight="1" thickBot="1" x14ac:dyDescent="0.3">
      <c r="A18" s="336" t="s">
        <v>74</v>
      </c>
      <c r="B18" s="337"/>
      <c r="C18" s="33" t="s">
        <v>40</v>
      </c>
      <c r="D18" s="33" t="s">
        <v>42</v>
      </c>
      <c r="E18" s="33" t="s">
        <v>44</v>
      </c>
      <c r="F18" s="33" t="s">
        <v>45</v>
      </c>
      <c r="G18" s="33" t="s">
        <v>47</v>
      </c>
      <c r="H18" s="33" t="s">
        <v>49</v>
      </c>
      <c r="I18" s="33" t="s">
        <v>50</v>
      </c>
      <c r="J18" s="33" t="s">
        <v>52</v>
      </c>
      <c r="K18" s="34" t="s">
        <v>12</v>
      </c>
    </row>
    <row r="19" spans="1:253" ht="17.100000000000001" customHeight="1" thickTop="1" thickBot="1" x14ac:dyDescent="0.3">
      <c r="A19" s="338" t="str">
        <f>A11</f>
        <v>% Total Area occupied per Agency</v>
      </c>
      <c r="B19" s="339"/>
      <c r="C19" s="257">
        <f t="shared" ref="C19:J19" si="3">C11</f>
        <v>0.25710837153670252</v>
      </c>
      <c r="D19" s="257">
        <f t="shared" si="3"/>
        <v>9.5018232186808119E-2</v>
      </c>
      <c r="E19" s="257">
        <f t="shared" si="3"/>
        <v>0.13777934509548723</v>
      </c>
      <c r="F19" s="257">
        <f>F11</f>
        <v>7.181627481704192E-2</v>
      </c>
      <c r="G19" s="257">
        <f>G11</f>
        <v>3.2319868539207382E-2</v>
      </c>
      <c r="H19" s="257">
        <f t="shared" si="3"/>
        <v>1.2869778923373917E-2</v>
      </c>
      <c r="I19" s="257">
        <f t="shared" si="3"/>
        <v>1.3724128654162863E-2</v>
      </c>
      <c r="J19" s="257">
        <f t="shared" si="3"/>
        <v>1.3284229431075789E-2</v>
      </c>
      <c r="K19" s="258">
        <f>SUM(C19:J19)</f>
        <v>0.63392022918385971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</row>
    <row r="20" spans="1:253" ht="17.100000000000001" customHeight="1" thickBot="1" x14ac:dyDescent="0.3">
      <c r="A20" s="340" t="s">
        <v>73</v>
      </c>
      <c r="B20" s="341"/>
      <c r="C20" s="259">
        <f>C16</f>
        <v>0.14365155563671328</v>
      </c>
      <c r="D20" s="259">
        <f t="shared" ref="D20:J20" si="4">D16</f>
        <v>1.8535684598285584E-2</v>
      </c>
      <c r="E20" s="259">
        <f t="shared" si="4"/>
        <v>8.341058069228513E-2</v>
      </c>
      <c r="F20" s="259">
        <f t="shared" si="4"/>
        <v>4.1705290346142565E-2</v>
      </c>
      <c r="G20" s="259">
        <f t="shared" si="4"/>
        <v>2.7803526897428377E-2</v>
      </c>
      <c r="H20" s="259">
        <f t="shared" si="4"/>
        <v>2.3169605747856981E-2</v>
      </c>
      <c r="I20" s="259">
        <f t="shared" si="4"/>
        <v>1.3901763448714188E-2</v>
      </c>
      <c r="J20" s="259">
        <f t="shared" si="4"/>
        <v>1.3901763448714188E-2</v>
      </c>
      <c r="K20" s="258">
        <f>SUM(C20:J20)</f>
        <v>0.36607977081614029</v>
      </c>
    </row>
    <row r="21" spans="1:253" ht="17.100000000000001" customHeight="1" thickBot="1" x14ac:dyDescent="0.3">
      <c r="A21" s="342" t="s">
        <v>152</v>
      </c>
      <c r="B21" s="343"/>
      <c r="C21" s="50">
        <f t="shared" ref="C21:K21" si="5">SUM(C19:C20)</f>
        <v>0.4007599271734158</v>
      </c>
      <c r="D21" s="50">
        <f t="shared" si="5"/>
        <v>0.1135539167850937</v>
      </c>
      <c r="E21" s="50">
        <f t="shared" si="5"/>
        <v>0.22118992578777236</v>
      </c>
      <c r="F21" s="50">
        <f t="shared" si="5"/>
        <v>0.11352156516318448</v>
      </c>
      <c r="G21" s="50">
        <f t="shared" si="5"/>
        <v>6.0123395436635758E-2</v>
      </c>
      <c r="H21" s="50">
        <f t="shared" si="5"/>
        <v>3.6039384671230898E-2</v>
      </c>
      <c r="I21" s="50">
        <f t="shared" si="5"/>
        <v>2.7625892102877053E-2</v>
      </c>
      <c r="J21" s="50">
        <f t="shared" si="5"/>
        <v>2.7185992879789976E-2</v>
      </c>
      <c r="K21" s="258">
        <f t="shared" si="5"/>
        <v>1</v>
      </c>
    </row>
    <row r="22" spans="1:253" ht="13.5" hidden="1" customHeight="1" x14ac:dyDescent="0.25">
      <c r="A22" s="344" t="s">
        <v>75</v>
      </c>
      <c r="B22" s="345"/>
      <c r="C22" s="51">
        <f t="shared" ref="C22:J22" si="6">ROUND(C21,2)</f>
        <v>0.4</v>
      </c>
      <c r="D22" s="51">
        <f t="shared" si="6"/>
        <v>0.11</v>
      </c>
      <c r="E22" s="51">
        <f t="shared" si="6"/>
        <v>0.22</v>
      </c>
      <c r="F22" s="51">
        <f t="shared" si="6"/>
        <v>0.11</v>
      </c>
      <c r="G22" s="51">
        <f t="shared" si="6"/>
        <v>0.06</v>
      </c>
      <c r="H22" s="51">
        <f t="shared" si="6"/>
        <v>0.04</v>
      </c>
      <c r="I22" s="51">
        <f t="shared" si="6"/>
        <v>0.03</v>
      </c>
      <c r="J22" s="51">
        <f t="shared" si="6"/>
        <v>0.03</v>
      </c>
      <c r="K22" s="52">
        <f>SUM(C22:J22)</f>
        <v>1</v>
      </c>
    </row>
    <row r="23" spans="1:253" ht="15" customHeight="1" thickBot="1" x14ac:dyDescent="0.3">
      <c r="A23" s="47"/>
      <c r="B23" s="49"/>
      <c r="C23" s="49"/>
      <c r="D23" s="49"/>
      <c r="E23" s="49"/>
      <c r="F23" s="49"/>
      <c r="G23" s="49"/>
      <c r="H23" s="49"/>
      <c r="I23" s="53"/>
      <c r="J23" s="49"/>
      <c r="K23" s="49"/>
      <c r="L23" s="47"/>
    </row>
    <row r="24" spans="1:253" s="55" customFormat="1" ht="27.75" customHeight="1" thickBot="1" x14ac:dyDescent="0.3">
      <c r="A24" s="346" t="s">
        <v>76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5"/>
      <c r="L24" s="54"/>
    </row>
    <row r="25" spans="1:253" ht="22.5" customHeight="1" thickBot="1" x14ac:dyDescent="0.3">
      <c r="A25" s="333" t="s">
        <v>205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5"/>
      <c r="L25" s="47"/>
    </row>
    <row r="26" spans="1:253" x14ac:dyDescent="0.25">
      <c r="A26" s="47"/>
      <c r="B26" s="49"/>
      <c r="C26" s="49"/>
      <c r="D26" s="49"/>
      <c r="E26" s="49"/>
      <c r="F26" s="49"/>
      <c r="G26" s="252"/>
      <c r="H26" s="49"/>
      <c r="I26" s="53"/>
      <c r="J26" s="49"/>
      <c r="K26" s="49"/>
      <c r="L26" s="47"/>
    </row>
    <row r="27" spans="1:253" hidden="1" x14ac:dyDescent="0.25">
      <c r="A27" s="47"/>
      <c r="B27" s="49"/>
      <c r="C27" s="49"/>
      <c r="D27" s="49"/>
      <c r="E27" s="49"/>
      <c r="F27" s="49" t="e">
        <f>F9+#REF!</f>
        <v>#REF!</v>
      </c>
      <c r="G27" s="252"/>
      <c r="H27" s="49"/>
      <c r="I27" s="53"/>
      <c r="J27" s="49"/>
      <c r="K27" s="49"/>
      <c r="L27" s="47"/>
    </row>
    <row r="28" spans="1:253" hidden="1" x14ac:dyDescent="0.25">
      <c r="A28" s="47"/>
      <c r="B28" s="49"/>
      <c r="C28" s="49"/>
      <c r="D28" s="49"/>
      <c r="E28" s="95"/>
      <c r="F28" s="49" t="e">
        <f>F27/F14</f>
        <v>#REF!</v>
      </c>
      <c r="G28" s="252"/>
      <c r="H28" s="49"/>
      <c r="I28" s="53"/>
      <c r="J28" s="49"/>
      <c r="K28" s="49"/>
      <c r="L28" s="47"/>
    </row>
    <row r="29" spans="1:253" hidden="1" x14ac:dyDescent="0.25">
      <c r="A29" s="98" t="s">
        <v>140</v>
      </c>
      <c r="B29" s="99"/>
      <c r="C29" s="99">
        <f t="shared" ref="C29:J29" si="7">C10-C3-C4</f>
        <v>599.86</v>
      </c>
      <c r="D29" s="99">
        <f t="shared" si="7"/>
        <v>129.88</v>
      </c>
      <c r="E29" s="100">
        <f t="shared" si="7"/>
        <v>295.85000000000002</v>
      </c>
      <c r="F29" s="100">
        <f t="shared" si="7"/>
        <v>149.43</v>
      </c>
      <c r="G29" s="100">
        <f t="shared" si="7"/>
        <v>88.9</v>
      </c>
      <c r="H29" s="100">
        <f t="shared" si="7"/>
        <v>35.4</v>
      </c>
      <c r="I29" s="100">
        <f t="shared" si="7"/>
        <v>15.329999999999998</v>
      </c>
      <c r="J29" s="100">
        <f t="shared" si="7"/>
        <v>36.54</v>
      </c>
      <c r="K29" s="49"/>
      <c r="L29" s="47"/>
    </row>
    <row r="30" spans="1:253" hidden="1" x14ac:dyDescent="0.25">
      <c r="A30" s="260" t="s">
        <v>138</v>
      </c>
      <c r="B30" s="49"/>
      <c r="C30" s="49">
        <f t="shared" ref="C30:J30" si="8">C10/C14</f>
        <v>22.813225806451616</v>
      </c>
      <c r="D30" s="49">
        <f t="shared" si="8"/>
        <v>65.34</v>
      </c>
      <c r="E30" s="49">
        <f t="shared" si="8"/>
        <v>21.054444444444446</v>
      </c>
      <c r="F30" s="49">
        <f t="shared" si="8"/>
        <v>21.948888888888892</v>
      </c>
      <c r="G30" s="49">
        <f t="shared" si="8"/>
        <v>14.816666666666668</v>
      </c>
      <c r="H30" s="49">
        <f t="shared" si="8"/>
        <v>7.08</v>
      </c>
      <c r="I30" s="53">
        <f t="shared" si="8"/>
        <v>12.583333333333334</v>
      </c>
      <c r="J30" s="49">
        <f t="shared" si="8"/>
        <v>12.18</v>
      </c>
      <c r="K30" s="49"/>
      <c r="L30" s="47"/>
    </row>
    <row r="31" spans="1:253" hidden="1" x14ac:dyDescent="0.25">
      <c r="A31" s="47" t="s">
        <v>139</v>
      </c>
      <c r="B31" s="49">
        <f>C5+C6</f>
        <v>599.86</v>
      </c>
      <c r="C31" s="49">
        <f>B31/C14</f>
        <v>19.350322580645162</v>
      </c>
      <c r="D31" s="49">
        <f>D5/D14</f>
        <v>32.47</v>
      </c>
      <c r="E31" s="49">
        <f>E7/E14</f>
        <v>13.696111111111112</v>
      </c>
      <c r="F31" s="49">
        <f>F9/F14</f>
        <v>16.603333333333335</v>
      </c>
      <c r="G31" s="49"/>
      <c r="H31" s="49"/>
      <c r="I31" s="53"/>
      <c r="J31" s="49"/>
      <c r="K31" s="49"/>
      <c r="L31" s="47"/>
    </row>
    <row r="32" spans="1:253" x14ac:dyDescent="0.25">
      <c r="A32" s="47"/>
      <c r="B32" s="49"/>
      <c r="C32" s="49"/>
      <c r="D32" s="49"/>
      <c r="E32" s="49"/>
      <c r="F32" s="49"/>
      <c r="G32" s="49"/>
      <c r="H32" s="49"/>
      <c r="I32" s="53"/>
      <c r="J32" s="49"/>
      <c r="K32" s="49"/>
      <c r="L32" s="47"/>
    </row>
    <row r="33" spans="1:12" ht="13.8" hidden="1" thickBot="1" x14ac:dyDescent="0.3">
      <c r="A33" s="47"/>
      <c r="B33" s="49"/>
      <c r="C33" s="49"/>
      <c r="D33" s="49"/>
      <c r="E33" s="49"/>
      <c r="F33" s="49"/>
      <c r="G33" s="49"/>
      <c r="H33" s="49"/>
      <c r="I33" s="53"/>
      <c r="J33" s="49"/>
      <c r="K33" s="49"/>
      <c r="L33" s="47"/>
    </row>
    <row r="34" spans="1:12" ht="13.8" hidden="1" thickBot="1" x14ac:dyDescent="0.3">
      <c r="A34" s="261" t="s">
        <v>47</v>
      </c>
      <c r="B34" s="262" t="s">
        <v>206</v>
      </c>
      <c r="C34" s="49"/>
      <c r="D34" s="49"/>
      <c r="E34" s="49"/>
      <c r="F34" s="49"/>
      <c r="G34" s="49"/>
      <c r="H34" s="49"/>
      <c r="I34" s="53"/>
      <c r="J34" s="49"/>
      <c r="K34" s="49"/>
      <c r="L34" s="47"/>
    </row>
    <row r="35" spans="1:12" hidden="1" x14ac:dyDescent="0.25">
      <c r="A35" s="263" t="s">
        <v>207</v>
      </c>
      <c r="B35" s="264">
        <v>9.1</v>
      </c>
      <c r="C35" s="49"/>
      <c r="D35" s="49"/>
      <c r="E35" s="195"/>
      <c r="F35" s="49"/>
      <c r="G35" s="49"/>
      <c r="H35" s="49"/>
      <c r="I35" s="53"/>
      <c r="J35" s="49"/>
      <c r="K35" s="49"/>
      <c r="L35" s="47"/>
    </row>
    <row r="36" spans="1:12" hidden="1" x14ac:dyDescent="0.25">
      <c r="A36" s="265" t="s">
        <v>208</v>
      </c>
      <c r="B36" s="264">
        <v>37.18</v>
      </c>
      <c r="C36" s="49"/>
      <c r="D36" s="49"/>
      <c r="E36" s="49"/>
      <c r="F36" s="49"/>
      <c r="G36" s="49"/>
      <c r="H36" s="49"/>
      <c r="I36" s="53"/>
      <c r="J36" s="49"/>
      <c r="K36" s="49"/>
      <c r="L36" s="47"/>
    </row>
    <row r="37" spans="1:12" hidden="1" x14ac:dyDescent="0.25">
      <c r="A37" s="300"/>
      <c r="B37" s="301"/>
      <c r="C37" s="49"/>
      <c r="D37" s="49"/>
      <c r="E37" s="49"/>
      <c r="F37" s="49"/>
      <c r="G37" s="49"/>
      <c r="H37" s="49"/>
      <c r="I37" s="53"/>
      <c r="J37" s="49"/>
      <c r="K37" s="49"/>
      <c r="L37" s="47"/>
    </row>
    <row r="38" spans="1:12" ht="13.8" hidden="1" thickBot="1" x14ac:dyDescent="0.3">
      <c r="A38" s="47"/>
      <c r="B38" s="49"/>
      <c r="C38" s="49"/>
      <c r="D38" s="49"/>
      <c r="E38" s="49"/>
      <c r="F38" s="49"/>
      <c r="G38" s="49"/>
      <c r="H38" s="49"/>
      <c r="I38" s="53"/>
      <c r="J38" s="49"/>
      <c r="K38" s="49"/>
      <c r="L38" s="47"/>
    </row>
    <row r="39" spans="1:12" ht="13.8" hidden="1" thickBot="1" x14ac:dyDescent="0.3">
      <c r="A39" s="266" t="s">
        <v>45</v>
      </c>
      <c r="B39" s="267" t="s">
        <v>206</v>
      </c>
      <c r="C39" s="49"/>
      <c r="D39" s="49"/>
      <c r="E39" s="49"/>
      <c r="F39" s="49"/>
      <c r="G39" s="49"/>
      <c r="H39" s="49"/>
      <c r="I39" s="53"/>
      <c r="J39" s="49"/>
      <c r="K39" s="49"/>
      <c r="L39" s="47"/>
    </row>
    <row r="40" spans="1:12" hidden="1" x14ac:dyDescent="0.25">
      <c r="A40" s="268" t="s">
        <v>207</v>
      </c>
      <c r="B40" s="269">
        <v>-9.1</v>
      </c>
      <c r="C40" s="49"/>
      <c r="D40" s="49"/>
      <c r="E40" s="49"/>
      <c r="F40" s="49"/>
      <c r="G40" s="49"/>
      <c r="H40" s="49"/>
      <c r="I40" s="53"/>
      <c r="J40" s="49"/>
      <c r="K40" s="49"/>
      <c r="L40" s="47"/>
    </row>
    <row r="41" spans="1:12" hidden="1" x14ac:dyDescent="0.25">
      <c r="A41" s="268" t="s">
        <v>210</v>
      </c>
      <c r="B41" s="269">
        <v>20</v>
      </c>
      <c r="C41" s="49"/>
      <c r="D41" s="49"/>
      <c r="E41" s="49"/>
      <c r="F41" s="49"/>
      <c r="G41" s="49"/>
      <c r="H41" s="49"/>
      <c r="I41" s="53"/>
      <c r="J41" s="49"/>
      <c r="K41" s="49"/>
      <c r="L41" s="47"/>
    </row>
    <row r="42" spans="1:12" hidden="1" x14ac:dyDescent="0.25">
      <c r="A42" s="270" t="s">
        <v>211</v>
      </c>
      <c r="B42" s="271">
        <v>6.04</v>
      </c>
    </row>
    <row r="43" spans="1:12" ht="13.8" hidden="1" thickBot="1" x14ac:dyDescent="0.3">
      <c r="A43" s="272" t="s">
        <v>212</v>
      </c>
      <c r="B43" s="273">
        <v>9.6370000000000005</v>
      </c>
    </row>
    <row r="44" spans="1:12" hidden="1" x14ac:dyDescent="0.25">
      <c r="A44" s="274" t="s">
        <v>209</v>
      </c>
      <c r="B44" s="275">
        <f>SUM(B41:B43)</f>
        <v>35.677</v>
      </c>
    </row>
    <row r="45" spans="1:12" hidden="1" x14ac:dyDescent="0.25"/>
  </sheetData>
  <mergeCells count="12">
    <mergeCell ref="B1:I1"/>
    <mergeCell ref="A13:B13"/>
    <mergeCell ref="A14:B14"/>
    <mergeCell ref="A15:B15"/>
    <mergeCell ref="A16:B16"/>
    <mergeCell ref="A25:K25"/>
    <mergeCell ref="A18:B18"/>
    <mergeCell ref="A19:B19"/>
    <mergeCell ref="A20:B20"/>
    <mergeCell ref="A21:B21"/>
    <mergeCell ref="A22:B22"/>
    <mergeCell ref="A24:K24"/>
  </mergeCells>
  <phoneticPr fontId="0" type="noConversion"/>
  <pageMargins left="0.39" right="0.42" top="0.75" bottom="1" header="0.5" footer="0.5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3"/>
  <sheetViews>
    <sheetView workbookViewId="0">
      <selection activeCell="O34" sqref="O34"/>
    </sheetView>
  </sheetViews>
  <sheetFormatPr defaultRowHeight="13.2" x14ac:dyDescent="0.25"/>
  <cols>
    <col min="1" max="1" width="36" customWidth="1"/>
    <col min="2" max="2" width="13.5546875" style="56" customWidth="1"/>
    <col min="3" max="3" width="14.44140625" style="56" customWidth="1"/>
    <col min="4" max="4" width="14.109375" style="56" customWidth="1"/>
    <col min="5" max="5" width="14.5546875" style="56" customWidth="1"/>
    <col min="6" max="6" width="14.33203125" style="56" customWidth="1"/>
    <col min="7" max="7" width="12.88671875" style="56" customWidth="1"/>
    <col min="8" max="8" width="14.44140625" style="56" bestFit="1" customWidth="1"/>
    <col min="9" max="9" width="13.6640625" style="57" customWidth="1"/>
    <col min="10" max="10" width="14.44140625" style="56" bestFit="1" customWidth="1"/>
    <col min="11" max="11" width="15.33203125" style="56" customWidth="1"/>
    <col min="12" max="12" width="10.6640625" customWidth="1"/>
  </cols>
  <sheetData>
    <row r="1" spans="1:11" ht="24" customHeight="1" thickBot="1" x14ac:dyDescent="0.3">
      <c r="B1" s="347" t="s">
        <v>218</v>
      </c>
      <c r="C1" s="347"/>
      <c r="D1" s="347"/>
      <c r="E1" s="347"/>
      <c r="F1" s="347"/>
      <c r="G1" s="347"/>
      <c r="H1" s="347"/>
      <c r="I1" s="347"/>
    </row>
    <row r="2" spans="1:11" ht="13.8" thickBot="1" x14ac:dyDescent="0.3">
      <c r="A2" s="32" t="s">
        <v>60</v>
      </c>
      <c r="B2" s="33" t="s">
        <v>61</v>
      </c>
      <c r="C2" s="33" t="s">
        <v>40</v>
      </c>
      <c r="D2" s="33" t="s">
        <v>42</v>
      </c>
      <c r="E2" s="33" t="s">
        <v>44</v>
      </c>
      <c r="F2" s="33" t="s">
        <v>45</v>
      </c>
      <c r="G2" s="33" t="s">
        <v>47</v>
      </c>
      <c r="H2" s="33" t="s">
        <v>49</v>
      </c>
      <c r="I2" s="33" t="s">
        <v>50</v>
      </c>
      <c r="J2" s="33" t="s">
        <v>52</v>
      </c>
      <c r="K2" s="34" t="s">
        <v>12</v>
      </c>
    </row>
    <row r="3" spans="1:11" ht="13.8" thickTop="1" x14ac:dyDescent="0.25">
      <c r="A3" s="35" t="s">
        <v>62</v>
      </c>
      <c r="B3" s="36">
        <v>63.76</v>
      </c>
      <c r="C3" s="37">
        <v>22.71</v>
      </c>
      <c r="D3" s="37">
        <v>29.87</v>
      </c>
      <c r="E3" s="37">
        <v>22.71</v>
      </c>
      <c r="F3" s="37">
        <v>22.71</v>
      </c>
      <c r="G3" s="37">
        <v>0</v>
      </c>
      <c r="H3" s="37">
        <v>0</v>
      </c>
      <c r="I3" s="37">
        <v>0</v>
      </c>
      <c r="J3" s="37">
        <v>0</v>
      </c>
      <c r="K3" s="38">
        <f t="shared" ref="K3:K11" si="0">SUM(B3:J3)</f>
        <v>161.76000000000002</v>
      </c>
    </row>
    <row r="4" spans="1:11" x14ac:dyDescent="0.25">
      <c r="A4" s="35" t="s">
        <v>63</v>
      </c>
      <c r="B4" s="36">
        <v>426.31</v>
      </c>
      <c r="C4" s="37">
        <v>84.64</v>
      </c>
      <c r="D4" s="37">
        <v>101.61</v>
      </c>
      <c r="E4" s="37">
        <v>60.42</v>
      </c>
      <c r="F4" s="37">
        <v>25.4</v>
      </c>
      <c r="G4" s="37">
        <v>0</v>
      </c>
      <c r="H4" s="37">
        <v>0</v>
      </c>
      <c r="I4" s="37">
        <v>22.42</v>
      </c>
      <c r="J4" s="37">
        <v>0</v>
      </c>
      <c r="K4" s="38">
        <f t="shared" si="0"/>
        <v>720.79999999999984</v>
      </c>
    </row>
    <row r="5" spans="1:11" x14ac:dyDescent="0.25">
      <c r="A5" s="35" t="s">
        <v>64</v>
      </c>
      <c r="B5" s="36">
        <f>284.27-74.67-E5</f>
        <v>179.67999999999995</v>
      </c>
      <c r="C5" s="37">
        <f>117.55+74.67</f>
        <v>192.22</v>
      </c>
      <c r="D5" s="37">
        <v>129.88</v>
      </c>
      <c r="E5" s="37">
        <v>29.92</v>
      </c>
      <c r="F5" s="37">
        <v>0</v>
      </c>
      <c r="G5" s="37">
        <v>0</v>
      </c>
      <c r="H5" s="37">
        <v>35.4</v>
      </c>
      <c r="I5" s="86">
        <v>15.33</v>
      </c>
      <c r="J5" s="37">
        <v>36.54</v>
      </c>
      <c r="K5" s="38">
        <f t="shared" si="0"/>
        <v>618.96999999999991</v>
      </c>
    </row>
    <row r="6" spans="1:11" x14ac:dyDescent="0.25">
      <c r="A6" s="39" t="s">
        <v>65</v>
      </c>
      <c r="B6" s="36">
        <v>221.52</v>
      </c>
      <c r="C6" s="87">
        <v>407.64</v>
      </c>
      <c r="D6" s="40">
        <v>0</v>
      </c>
      <c r="E6" s="87">
        <v>19.399999999999999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1">
        <f t="shared" si="0"/>
        <v>648.55999999999995</v>
      </c>
    </row>
    <row r="7" spans="1:11" x14ac:dyDescent="0.25">
      <c r="A7" s="39" t="s">
        <v>66</v>
      </c>
      <c r="B7" s="36">
        <v>4.9400000000000004</v>
      </c>
      <c r="C7" s="40">
        <v>0</v>
      </c>
      <c r="D7" s="40">
        <v>0</v>
      </c>
      <c r="E7" s="40">
        <v>246.53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1">
        <f t="shared" si="0"/>
        <v>251.47</v>
      </c>
    </row>
    <row r="8" spans="1:11" x14ac:dyDescent="0.25">
      <c r="A8" s="39" t="s">
        <v>82</v>
      </c>
      <c r="B8" s="36">
        <v>48.23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1">
        <f t="shared" si="0"/>
        <v>48.23</v>
      </c>
    </row>
    <row r="9" spans="1:11" x14ac:dyDescent="0.25">
      <c r="A9" s="39" t="s">
        <v>67</v>
      </c>
      <c r="B9" s="36">
        <f>46.93+7.25+8.33</f>
        <v>62.51</v>
      </c>
      <c r="C9" s="40">
        <v>0</v>
      </c>
      <c r="D9" s="40">
        <v>0</v>
      </c>
      <c r="E9" s="40">
        <v>0</v>
      </c>
      <c r="F9" s="40">
        <f>113.75+35.68</f>
        <v>149.43</v>
      </c>
      <c r="G9" s="40">
        <f>58.97-7.25+37.18</f>
        <v>88.9</v>
      </c>
      <c r="H9" s="40">
        <v>0</v>
      </c>
      <c r="I9" s="40">
        <v>0</v>
      </c>
      <c r="J9" s="40">
        <v>0</v>
      </c>
      <c r="K9" s="41">
        <f t="shared" si="0"/>
        <v>300.84000000000003</v>
      </c>
    </row>
    <row r="10" spans="1:11" s="45" customFormat="1" x14ac:dyDescent="0.25">
      <c r="A10" s="42" t="s">
        <v>68</v>
      </c>
      <c r="B10" s="43">
        <f t="shared" ref="B10:H10" si="1">SUM(B3:B9)</f>
        <v>1006.95</v>
      </c>
      <c r="C10" s="44">
        <f t="shared" si="1"/>
        <v>707.21</v>
      </c>
      <c r="D10" s="44">
        <f t="shared" si="1"/>
        <v>261.36</v>
      </c>
      <c r="E10" s="43">
        <f t="shared" si="1"/>
        <v>378.98</v>
      </c>
      <c r="F10" s="44">
        <f t="shared" si="1"/>
        <v>197.54000000000002</v>
      </c>
      <c r="G10" s="44">
        <f t="shared" si="1"/>
        <v>88.9</v>
      </c>
      <c r="H10" s="44">
        <f t="shared" si="1"/>
        <v>35.4</v>
      </c>
      <c r="I10" s="44">
        <v>0</v>
      </c>
      <c r="J10" s="44">
        <f>SUM(J3:J9)</f>
        <v>36.54</v>
      </c>
      <c r="K10" s="41">
        <f t="shared" si="0"/>
        <v>2712.88</v>
      </c>
    </row>
    <row r="11" spans="1:11" ht="13.8" thickBot="1" x14ac:dyDescent="0.3">
      <c r="A11" s="46" t="s">
        <v>69</v>
      </c>
      <c r="B11" s="251">
        <f>B10/K10</f>
        <v>0.37117380790893811</v>
      </c>
      <c r="C11" s="251">
        <f>C10/K10</f>
        <v>0.2606860605703164</v>
      </c>
      <c r="D11" s="251">
        <f>D10/K10</f>
        <v>9.6340420512518066E-2</v>
      </c>
      <c r="E11" s="251">
        <f>E10/K10</f>
        <v>0.13969655863878977</v>
      </c>
      <c r="F11" s="251">
        <f>F10/K10</f>
        <v>7.2815605555719393E-2</v>
      </c>
      <c r="G11" s="251">
        <f>G10/$K$10</f>
        <v>3.2769602783757484E-2</v>
      </c>
      <c r="H11" s="251">
        <f>H10/$K$10</f>
        <v>1.3048863200731325E-2</v>
      </c>
      <c r="I11" s="251">
        <f>I10/$K$10</f>
        <v>0</v>
      </c>
      <c r="J11" s="251">
        <f>J10/K10</f>
        <v>1.3469080829229452E-2</v>
      </c>
      <c r="K11" s="251">
        <f t="shared" si="0"/>
        <v>0.99999999999999989</v>
      </c>
    </row>
    <row r="12" spans="1:11" ht="13.8" thickBot="1" x14ac:dyDescent="0.3">
      <c r="A12" s="47"/>
      <c r="B12" s="48"/>
      <c r="C12" s="252"/>
      <c r="D12" s="252"/>
      <c r="E12" s="253"/>
      <c r="F12" s="252"/>
      <c r="G12" s="252"/>
      <c r="H12" s="252"/>
      <c r="I12" s="252"/>
      <c r="J12" s="252"/>
      <c r="K12" s="49"/>
    </row>
    <row r="13" spans="1:11" ht="13.8" thickBot="1" x14ac:dyDescent="0.3">
      <c r="A13" s="336" t="s">
        <v>70</v>
      </c>
      <c r="B13" s="337"/>
      <c r="C13" s="33" t="s">
        <v>40</v>
      </c>
      <c r="D13" s="33" t="s">
        <v>42</v>
      </c>
      <c r="E13" s="33" t="s">
        <v>44</v>
      </c>
      <c r="F13" s="33" t="s">
        <v>45</v>
      </c>
      <c r="G13" s="33" t="s">
        <v>47</v>
      </c>
      <c r="H13" s="33" t="s">
        <v>49</v>
      </c>
      <c r="I13" s="33" t="s">
        <v>50</v>
      </c>
      <c r="J13" s="33" t="s">
        <v>52</v>
      </c>
      <c r="K13" s="34" t="s">
        <v>12</v>
      </c>
    </row>
    <row r="14" spans="1:11" ht="13.8" thickTop="1" x14ac:dyDescent="0.25">
      <c r="A14" s="338" t="s">
        <v>71</v>
      </c>
      <c r="B14" s="339"/>
      <c r="C14" s="303">
        <v>31</v>
      </c>
      <c r="D14" s="303">
        <v>4</v>
      </c>
      <c r="E14" s="303">
        <v>18</v>
      </c>
      <c r="F14" s="304">
        <v>9</v>
      </c>
      <c r="G14" s="304">
        <v>6</v>
      </c>
      <c r="H14" s="303">
        <v>5</v>
      </c>
      <c r="I14" s="303">
        <v>0</v>
      </c>
      <c r="J14" s="303">
        <v>3</v>
      </c>
      <c r="K14" s="254">
        <f>SUM(B14:J14)</f>
        <v>76</v>
      </c>
    </row>
    <row r="15" spans="1:11" x14ac:dyDescent="0.25">
      <c r="A15" s="348" t="s">
        <v>72</v>
      </c>
      <c r="B15" s="349"/>
      <c r="C15" s="255">
        <f>C14/K14</f>
        <v>0.40789473684210525</v>
      </c>
      <c r="D15" s="255">
        <f>D14/K14</f>
        <v>5.2631578947368418E-2</v>
      </c>
      <c r="E15" s="255">
        <f>E14/K14</f>
        <v>0.23684210526315788</v>
      </c>
      <c r="F15" s="255">
        <f>F14/K14</f>
        <v>0.11842105263157894</v>
      </c>
      <c r="G15" s="255">
        <f>G14/K14</f>
        <v>7.8947368421052627E-2</v>
      </c>
      <c r="H15" s="255">
        <f>H14/K14</f>
        <v>6.5789473684210523E-2</v>
      </c>
      <c r="I15" s="255">
        <f>I14/K14</f>
        <v>0</v>
      </c>
      <c r="J15" s="255">
        <f>J14/K14</f>
        <v>3.9473684210526314E-2</v>
      </c>
      <c r="K15" s="255">
        <f>SUM(B15:J15)</f>
        <v>1</v>
      </c>
    </row>
    <row r="16" spans="1:11" ht="13.8" thickBot="1" x14ac:dyDescent="0.3">
      <c r="A16" s="350" t="s">
        <v>73</v>
      </c>
      <c r="B16" s="351"/>
      <c r="C16" s="256">
        <f t="shared" ref="C16:J16" si="2">C15*$B$11</f>
        <v>0.15139984269969844</v>
      </c>
      <c r="D16" s="256">
        <f t="shared" si="2"/>
        <v>1.9535463574154636E-2</v>
      </c>
      <c r="E16" s="256">
        <f t="shared" si="2"/>
        <v>8.7909586083695868E-2</v>
      </c>
      <c r="F16" s="256">
        <f t="shared" si="2"/>
        <v>4.3954793041847934E-2</v>
      </c>
      <c r="G16" s="256">
        <f t="shared" si="2"/>
        <v>2.9303195361231955E-2</v>
      </c>
      <c r="H16" s="256">
        <f t="shared" si="2"/>
        <v>2.4419329467693297E-2</v>
      </c>
      <c r="I16" s="256">
        <f t="shared" si="2"/>
        <v>0</v>
      </c>
      <c r="J16" s="256">
        <f t="shared" si="2"/>
        <v>1.4651597680615977E-2</v>
      </c>
      <c r="K16" s="256">
        <f>SUM(C16:J16)</f>
        <v>0.37117380790893806</v>
      </c>
    </row>
    <row r="17" spans="1:253" ht="13.8" thickBot="1" x14ac:dyDescent="0.3">
      <c r="A17" s="47"/>
      <c r="B17" s="48"/>
      <c r="C17" s="252"/>
      <c r="D17" s="252"/>
      <c r="E17" s="253"/>
      <c r="F17" s="252"/>
      <c r="G17" s="252"/>
      <c r="H17" s="252"/>
      <c r="I17" s="252"/>
      <c r="J17" s="252"/>
      <c r="K17" s="252"/>
    </row>
    <row r="18" spans="1:253" ht="13.8" thickBot="1" x14ac:dyDescent="0.3">
      <c r="A18" s="336" t="s">
        <v>74</v>
      </c>
      <c r="B18" s="337"/>
      <c r="C18" s="33" t="s">
        <v>40</v>
      </c>
      <c r="D18" s="33" t="s">
        <v>42</v>
      </c>
      <c r="E18" s="33" t="s">
        <v>44</v>
      </c>
      <c r="F18" s="33" t="s">
        <v>45</v>
      </c>
      <c r="G18" s="33" t="s">
        <v>47</v>
      </c>
      <c r="H18" s="33" t="s">
        <v>49</v>
      </c>
      <c r="I18" s="33" t="s">
        <v>50</v>
      </c>
      <c r="J18" s="33" t="s">
        <v>52</v>
      </c>
      <c r="K18" s="34" t="s">
        <v>12</v>
      </c>
    </row>
    <row r="19" spans="1:253" ht="14.4" thickTop="1" thickBot="1" x14ac:dyDescent="0.3">
      <c r="A19" s="338" t="str">
        <f>A11</f>
        <v>% Total Area occupied per Agency</v>
      </c>
      <c r="B19" s="339"/>
      <c r="C19" s="257">
        <f t="shared" ref="C19:J19" si="3">C11</f>
        <v>0.2606860605703164</v>
      </c>
      <c r="D19" s="257">
        <f t="shared" si="3"/>
        <v>9.6340420512518066E-2</v>
      </c>
      <c r="E19" s="257">
        <f t="shared" si="3"/>
        <v>0.13969655863878977</v>
      </c>
      <c r="F19" s="257">
        <f t="shared" si="3"/>
        <v>7.2815605555719393E-2</v>
      </c>
      <c r="G19" s="257">
        <f>G11</f>
        <v>3.2769602783757484E-2</v>
      </c>
      <c r="H19" s="257">
        <f t="shared" si="3"/>
        <v>1.3048863200731325E-2</v>
      </c>
      <c r="I19" s="257">
        <f t="shared" si="3"/>
        <v>0</v>
      </c>
      <c r="J19" s="257">
        <f t="shared" si="3"/>
        <v>1.3469080829229452E-2</v>
      </c>
      <c r="K19" s="258">
        <f>SUM(C19:J19)</f>
        <v>0.62882619209106194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</row>
    <row r="20" spans="1:253" ht="13.8" thickBot="1" x14ac:dyDescent="0.3">
      <c r="A20" s="340" t="s">
        <v>73</v>
      </c>
      <c r="B20" s="341"/>
      <c r="C20" s="259">
        <f>C16</f>
        <v>0.15139984269969844</v>
      </c>
      <c r="D20" s="259">
        <f t="shared" ref="D20:J20" si="4">D16</f>
        <v>1.9535463574154636E-2</v>
      </c>
      <c r="E20" s="259">
        <f t="shared" si="4"/>
        <v>8.7909586083695868E-2</v>
      </c>
      <c r="F20" s="259">
        <f t="shared" si="4"/>
        <v>4.3954793041847934E-2</v>
      </c>
      <c r="G20" s="259">
        <f>G16</f>
        <v>2.9303195361231955E-2</v>
      </c>
      <c r="H20" s="259">
        <f t="shared" si="4"/>
        <v>2.4419329467693297E-2</v>
      </c>
      <c r="I20" s="259">
        <f t="shared" si="4"/>
        <v>0</v>
      </c>
      <c r="J20" s="259">
        <f t="shared" si="4"/>
        <v>1.4651597680615977E-2</v>
      </c>
      <c r="K20" s="258">
        <f>SUM(C20:J20)</f>
        <v>0.37117380790893806</v>
      </c>
    </row>
    <row r="21" spans="1:253" ht="16.2" thickBot="1" x14ac:dyDescent="0.3">
      <c r="A21" s="342" t="s">
        <v>152</v>
      </c>
      <c r="B21" s="343"/>
      <c r="C21" s="50">
        <f t="shared" ref="C21:K21" si="5">SUM(C19:C20)</f>
        <v>0.41208590327001482</v>
      </c>
      <c r="D21" s="50">
        <f t="shared" si="5"/>
        <v>0.11587588408667271</v>
      </c>
      <c r="E21" s="50">
        <f t="shared" si="5"/>
        <v>0.22760614472248564</v>
      </c>
      <c r="F21" s="50">
        <f t="shared" si="5"/>
        <v>0.11677039859756733</v>
      </c>
      <c r="G21" s="50">
        <f>SUM(G19:G20)</f>
        <v>6.2072798144989436E-2</v>
      </c>
      <c r="H21" s="50">
        <f t="shared" si="5"/>
        <v>3.7468192668424619E-2</v>
      </c>
      <c r="I21" s="50">
        <f t="shared" si="5"/>
        <v>0</v>
      </c>
      <c r="J21" s="50">
        <f t="shared" si="5"/>
        <v>2.8120678509845429E-2</v>
      </c>
      <c r="K21" s="258">
        <f t="shared" si="5"/>
        <v>1</v>
      </c>
    </row>
    <row r="22" spans="1:253" ht="13.8" hidden="1" thickBot="1" x14ac:dyDescent="0.3">
      <c r="A22" s="344" t="s">
        <v>75</v>
      </c>
      <c r="B22" s="345"/>
      <c r="C22" s="51">
        <f t="shared" ref="C22:J22" si="6">ROUND(C21,2)</f>
        <v>0.41</v>
      </c>
      <c r="D22" s="51">
        <f t="shared" si="6"/>
        <v>0.12</v>
      </c>
      <c r="E22" s="51">
        <f t="shared" si="6"/>
        <v>0.23</v>
      </c>
      <c r="F22" s="51">
        <f t="shared" si="6"/>
        <v>0.12</v>
      </c>
      <c r="G22" s="51">
        <f t="shared" si="6"/>
        <v>0.06</v>
      </c>
      <c r="H22" s="51">
        <f t="shared" si="6"/>
        <v>0.04</v>
      </c>
      <c r="I22" s="51">
        <f t="shared" si="6"/>
        <v>0</v>
      </c>
      <c r="J22" s="51">
        <f t="shared" si="6"/>
        <v>0.03</v>
      </c>
      <c r="K22" s="52">
        <f>SUM(C22:J22)</f>
        <v>1.01</v>
      </c>
    </row>
    <row r="23" spans="1:253" ht="13.8" thickBot="1" x14ac:dyDescent="0.3">
      <c r="A23" s="47"/>
      <c r="B23" s="49"/>
      <c r="C23" s="49"/>
      <c r="D23" s="49"/>
      <c r="E23" s="49"/>
      <c r="F23" s="49"/>
      <c r="G23" s="49"/>
      <c r="H23" s="49"/>
      <c r="I23" s="53"/>
      <c r="J23" s="49"/>
      <c r="K23" s="49"/>
      <c r="L23" s="47"/>
    </row>
    <row r="24" spans="1:253" s="55" customFormat="1" ht="13.8" thickBot="1" x14ac:dyDescent="0.3">
      <c r="A24" s="346" t="s">
        <v>76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5"/>
      <c r="L24" s="54"/>
    </row>
    <row r="25" spans="1:253" ht="13.8" thickBot="1" x14ac:dyDescent="0.3">
      <c r="A25" s="333" t="s">
        <v>213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5"/>
      <c r="L25" s="47"/>
    </row>
    <row r="26" spans="1:253" x14ac:dyDescent="0.25">
      <c r="A26" s="47"/>
      <c r="B26" s="49"/>
      <c r="C26" s="49"/>
      <c r="D26" s="49"/>
      <c r="E26" s="49"/>
      <c r="F26" s="49"/>
      <c r="G26" s="252"/>
      <c r="H26" s="49"/>
      <c r="I26" s="53"/>
      <c r="J26" s="49"/>
      <c r="K26" s="49"/>
      <c r="L26" s="47"/>
    </row>
    <row r="27" spans="1:253" hidden="1" x14ac:dyDescent="0.25">
      <c r="A27" s="47"/>
      <c r="B27" s="49"/>
      <c r="C27" s="49"/>
      <c r="D27" s="49"/>
      <c r="E27" s="49"/>
      <c r="F27" s="49" t="e">
        <f>F9+#REF!</f>
        <v>#REF!</v>
      </c>
      <c r="G27" s="252"/>
      <c r="H27" s="49"/>
      <c r="I27" s="53"/>
      <c r="J27" s="49"/>
      <c r="K27" s="49"/>
      <c r="L27" s="47"/>
    </row>
    <row r="28" spans="1:253" hidden="1" x14ac:dyDescent="0.25">
      <c r="A28" s="47"/>
      <c r="B28" s="49"/>
      <c r="C28" s="49"/>
      <c r="D28" s="49"/>
      <c r="E28" s="95"/>
      <c r="F28" s="49" t="e">
        <f>F27/F14</f>
        <v>#REF!</v>
      </c>
      <c r="G28" s="252"/>
      <c r="H28" s="49"/>
      <c r="I28" s="53"/>
      <c r="J28" s="49"/>
      <c r="K28" s="49"/>
      <c r="L28" s="47"/>
    </row>
    <row r="29" spans="1:253" hidden="1" x14ac:dyDescent="0.25">
      <c r="A29" s="98" t="s">
        <v>140</v>
      </c>
      <c r="B29" s="99"/>
      <c r="C29" s="99">
        <f t="shared" ref="C29:J29" si="7">C10-C3-C4</f>
        <v>599.86</v>
      </c>
      <c r="D29" s="99">
        <f t="shared" si="7"/>
        <v>129.88</v>
      </c>
      <c r="E29" s="100">
        <f t="shared" si="7"/>
        <v>295.85000000000002</v>
      </c>
      <c r="F29" s="100">
        <f t="shared" si="7"/>
        <v>149.43</v>
      </c>
      <c r="G29" s="100">
        <f t="shared" si="7"/>
        <v>88.9</v>
      </c>
      <c r="H29" s="100">
        <f t="shared" si="7"/>
        <v>35.4</v>
      </c>
      <c r="I29" s="100">
        <f t="shared" si="7"/>
        <v>-22.42</v>
      </c>
      <c r="J29" s="100">
        <f t="shared" si="7"/>
        <v>36.54</v>
      </c>
      <c r="K29" s="49"/>
      <c r="L29" s="47"/>
    </row>
    <row r="30" spans="1:253" hidden="1" x14ac:dyDescent="0.25">
      <c r="A30" s="260" t="s">
        <v>138</v>
      </c>
      <c r="B30" s="49"/>
      <c r="C30" s="49">
        <f t="shared" ref="C30:J30" si="8">C10/C14</f>
        <v>22.813225806451616</v>
      </c>
      <c r="D30" s="49">
        <f t="shared" si="8"/>
        <v>65.34</v>
      </c>
      <c r="E30" s="49">
        <f t="shared" si="8"/>
        <v>21.054444444444446</v>
      </c>
      <c r="F30" s="49">
        <f t="shared" si="8"/>
        <v>21.948888888888892</v>
      </c>
      <c r="G30" s="49">
        <f t="shared" si="8"/>
        <v>14.816666666666668</v>
      </c>
      <c r="H30" s="49">
        <f t="shared" si="8"/>
        <v>7.08</v>
      </c>
      <c r="I30" s="53" t="e">
        <f t="shared" si="8"/>
        <v>#DIV/0!</v>
      </c>
      <c r="J30" s="49">
        <f t="shared" si="8"/>
        <v>12.18</v>
      </c>
      <c r="K30" s="49"/>
      <c r="L30" s="47"/>
    </row>
    <row r="31" spans="1:253" hidden="1" x14ac:dyDescent="0.25">
      <c r="A31" s="47" t="s">
        <v>139</v>
      </c>
      <c r="B31" s="49">
        <f>C5+C6</f>
        <v>599.86</v>
      </c>
      <c r="C31" s="49">
        <f>B31/C14</f>
        <v>19.350322580645162</v>
      </c>
      <c r="D31" s="49">
        <f>D5/D14</f>
        <v>32.47</v>
      </c>
      <c r="E31" s="49">
        <f>E7/E14</f>
        <v>13.696111111111112</v>
      </c>
      <c r="F31" s="49">
        <f>F9/F14</f>
        <v>16.603333333333335</v>
      </c>
      <c r="G31" s="49"/>
      <c r="H31" s="49"/>
      <c r="I31" s="53"/>
      <c r="J31" s="49"/>
      <c r="K31" s="49"/>
      <c r="L31" s="47"/>
    </row>
    <row r="32" spans="1:253" x14ac:dyDescent="0.25">
      <c r="A32" s="47"/>
      <c r="B32" s="49"/>
      <c r="C32" s="49"/>
      <c r="D32" s="49"/>
      <c r="E32" s="49"/>
      <c r="F32" s="49"/>
      <c r="G32" s="49"/>
      <c r="H32" s="49"/>
      <c r="I32" s="53"/>
      <c r="J32" s="49"/>
      <c r="K32" s="49"/>
      <c r="L32" s="47"/>
    </row>
    <row r="33" spans="1:12" x14ac:dyDescent="0.25">
      <c r="A33" s="47"/>
      <c r="B33" s="49"/>
      <c r="C33" s="49"/>
      <c r="D33" s="49"/>
      <c r="E33" s="49"/>
      <c r="F33" s="49"/>
      <c r="G33" s="49"/>
      <c r="H33" s="49"/>
      <c r="I33" s="53"/>
      <c r="J33" s="49"/>
      <c r="K33" s="49"/>
      <c r="L33" s="47"/>
    </row>
    <row r="34" spans="1:12" x14ac:dyDescent="0.25">
      <c r="A34" s="47"/>
      <c r="B34" s="49"/>
      <c r="C34" s="49"/>
      <c r="D34" s="49"/>
      <c r="E34" s="49"/>
      <c r="F34" s="49"/>
      <c r="G34" s="49"/>
      <c r="H34" s="49"/>
      <c r="I34" s="53"/>
      <c r="J34" s="49"/>
      <c r="K34" s="49"/>
      <c r="L34" s="47"/>
    </row>
    <row r="35" spans="1:12" x14ac:dyDescent="0.25">
      <c r="A35" s="47"/>
      <c r="B35" s="49"/>
      <c r="C35" s="49"/>
      <c r="D35" s="49"/>
      <c r="E35" s="195"/>
      <c r="F35" s="49"/>
      <c r="G35" s="49"/>
      <c r="H35" s="49"/>
      <c r="I35" s="53"/>
      <c r="J35" s="49"/>
      <c r="K35" s="49"/>
      <c r="L35" s="47"/>
    </row>
    <row r="36" spans="1:12" x14ac:dyDescent="0.25">
      <c r="A36" s="47"/>
      <c r="B36" s="49"/>
      <c r="C36" s="49"/>
      <c r="D36" s="49"/>
      <c r="E36" s="49"/>
      <c r="F36" s="49"/>
      <c r="G36" s="49"/>
      <c r="H36" s="49"/>
      <c r="I36" s="53"/>
      <c r="J36" s="49"/>
      <c r="K36" s="49"/>
      <c r="L36" s="47"/>
    </row>
    <row r="37" spans="1:12" x14ac:dyDescent="0.25">
      <c r="A37" s="47"/>
      <c r="B37" s="49"/>
      <c r="C37" s="49"/>
      <c r="D37" s="49"/>
      <c r="E37" s="49"/>
      <c r="F37" s="49"/>
      <c r="G37" s="49"/>
      <c r="H37" s="49"/>
      <c r="I37" s="53"/>
      <c r="J37" s="49"/>
      <c r="K37" s="49"/>
      <c r="L37" s="47"/>
    </row>
    <row r="38" spans="1:12" x14ac:dyDescent="0.25">
      <c r="A38" s="47"/>
      <c r="B38" s="49"/>
      <c r="C38" s="49"/>
      <c r="D38" s="49"/>
      <c r="E38" s="49"/>
      <c r="F38" s="49"/>
      <c r="G38" s="49"/>
      <c r="H38" s="49"/>
      <c r="I38" s="53"/>
      <c r="J38" s="49"/>
      <c r="K38" s="49"/>
      <c r="L38" s="47"/>
    </row>
    <row r="39" spans="1:12" x14ac:dyDescent="0.25">
      <c r="A39" s="47"/>
      <c r="B39" s="49"/>
      <c r="C39" s="49"/>
      <c r="D39" s="49"/>
      <c r="E39" s="49"/>
      <c r="F39" s="49"/>
      <c r="G39" s="49"/>
      <c r="H39" s="49"/>
      <c r="I39" s="53"/>
      <c r="J39" s="49"/>
      <c r="K39" s="49"/>
      <c r="L39" s="47"/>
    </row>
    <row r="40" spans="1:12" x14ac:dyDescent="0.25">
      <c r="A40" s="47"/>
      <c r="B40" s="49"/>
      <c r="C40" s="49"/>
      <c r="D40" s="49"/>
      <c r="E40" s="49"/>
      <c r="F40" s="49"/>
      <c r="G40" s="49"/>
      <c r="H40" s="49"/>
      <c r="I40" s="53"/>
      <c r="J40" s="49"/>
      <c r="K40" s="49"/>
      <c r="L40" s="47"/>
    </row>
    <row r="41" spans="1:12" x14ac:dyDescent="0.25">
      <c r="A41" s="47"/>
      <c r="B41" s="49"/>
      <c r="C41" s="49"/>
      <c r="D41" s="49"/>
      <c r="E41" s="49"/>
      <c r="F41" s="49"/>
      <c r="G41" s="49"/>
      <c r="H41" s="49"/>
      <c r="I41" s="53"/>
      <c r="J41" s="49"/>
      <c r="K41" s="49"/>
      <c r="L41" s="47"/>
    </row>
    <row r="42" spans="1:12" x14ac:dyDescent="0.25">
      <c r="A42" s="47"/>
      <c r="B42" s="49"/>
      <c r="C42" s="49"/>
      <c r="D42" s="49"/>
      <c r="E42" s="49"/>
      <c r="F42" s="49"/>
      <c r="G42" s="49"/>
      <c r="H42" s="49"/>
      <c r="I42" s="53"/>
      <c r="J42" s="49"/>
      <c r="K42" s="49"/>
      <c r="L42" s="47"/>
    </row>
    <row r="43" spans="1:12" x14ac:dyDescent="0.25">
      <c r="A43" s="47"/>
      <c r="B43" s="49"/>
      <c r="C43" s="49"/>
      <c r="D43" s="49"/>
      <c r="E43" s="49"/>
      <c r="F43" s="49"/>
      <c r="G43" s="49"/>
      <c r="H43" s="49"/>
      <c r="I43" s="53"/>
      <c r="J43" s="49"/>
      <c r="K43" s="49"/>
      <c r="L43" s="47"/>
    </row>
  </sheetData>
  <mergeCells count="12">
    <mergeCell ref="B1:I1"/>
    <mergeCell ref="A20:B20"/>
    <mergeCell ref="A21:B21"/>
    <mergeCell ref="A22:B22"/>
    <mergeCell ref="A24:K24"/>
    <mergeCell ref="A25:K25"/>
    <mergeCell ref="A19:B19"/>
    <mergeCell ref="A13:B13"/>
    <mergeCell ref="A14:B14"/>
    <mergeCell ref="A15:B15"/>
    <mergeCell ref="A16:B16"/>
    <mergeCell ref="A18:B18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4" workbookViewId="0">
      <selection activeCell="I36" sqref="I36"/>
    </sheetView>
  </sheetViews>
  <sheetFormatPr defaultRowHeight="13.2" x14ac:dyDescent="0.25"/>
  <cols>
    <col min="1" max="1" width="19.6640625" bestFit="1" customWidth="1"/>
    <col min="2" max="2" width="25.88671875" bestFit="1" customWidth="1"/>
    <col min="3" max="3" width="7.6640625" customWidth="1"/>
    <col min="4" max="4" width="6.6640625" customWidth="1"/>
    <col min="5" max="5" width="10.6640625" customWidth="1"/>
    <col min="6" max="6" width="15.5546875" customWidth="1"/>
    <col min="7" max="7" width="9.33203125" customWidth="1"/>
    <col min="8" max="8" width="11.6640625" customWidth="1"/>
    <col min="9" max="9" width="11.109375" customWidth="1"/>
  </cols>
  <sheetData>
    <row r="3" spans="1:9" x14ac:dyDescent="0.25">
      <c r="C3" s="57"/>
      <c r="H3" s="57"/>
    </row>
    <row r="4" spans="1:9" x14ac:dyDescent="0.25">
      <c r="C4" s="57"/>
      <c r="D4" s="353" t="s">
        <v>86</v>
      </c>
      <c r="E4" s="353"/>
      <c r="F4" s="353"/>
      <c r="G4" s="353" t="s">
        <v>87</v>
      </c>
      <c r="H4" s="353"/>
      <c r="I4" s="353"/>
    </row>
    <row r="5" spans="1:9" ht="39.6" x14ac:dyDescent="0.25">
      <c r="A5" s="68" t="s">
        <v>88</v>
      </c>
      <c r="B5" s="69"/>
      <c r="C5" s="70" t="s">
        <v>89</v>
      </c>
      <c r="D5" s="61" t="s">
        <v>90</v>
      </c>
      <c r="E5" s="61" t="s">
        <v>91</v>
      </c>
      <c r="F5" s="61" t="s">
        <v>100</v>
      </c>
      <c r="G5" s="61" t="s">
        <v>92</v>
      </c>
      <c r="H5" s="71" t="s">
        <v>93</v>
      </c>
      <c r="I5" s="61" t="s">
        <v>94</v>
      </c>
    </row>
    <row r="6" spans="1:9" x14ac:dyDescent="0.25">
      <c r="A6" s="352" t="s">
        <v>0</v>
      </c>
      <c r="B6" s="2" t="s">
        <v>95</v>
      </c>
      <c r="C6" s="67">
        <v>1</v>
      </c>
      <c r="D6" s="67">
        <v>7</v>
      </c>
      <c r="E6" s="72">
        <v>410</v>
      </c>
      <c r="F6" s="73">
        <v>426.4</v>
      </c>
      <c r="G6" s="67">
        <v>8</v>
      </c>
      <c r="H6" s="72">
        <v>426</v>
      </c>
      <c r="I6" s="74">
        <f t="shared" ref="I6:I25" si="0">H6*1.2*1.04</f>
        <v>531.64800000000002</v>
      </c>
    </row>
    <row r="7" spans="1:9" x14ac:dyDescent="0.25">
      <c r="A7" s="352"/>
      <c r="B7" s="2" t="s">
        <v>4</v>
      </c>
      <c r="C7" s="67">
        <v>1</v>
      </c>
      <c r="D7" s="67">
        <v>8</v>
      </c>
      <c r="E7" s="72">
        <v>426</v>
      </c>
      <c r="F7" s="73">
        <v>443.04</v>
      </c>
      <c r="G7" s="67">
        <v>9</v>
      </c>
      <c r="H7" s="72">
        <v>444</v>
      </c>
      <c r="I7" s="74">
        <f t="shared" si="0"/>
        <v>554.11199999999997</v>
      </c>
    </row>
    <row r="8" spans="1:9" x14ac:dyDescent="0.25">
      <c r="A8" s="352"/>
      <c r="B8" s="2" t="s">
        <v>5</v>
      </c>
      <c r="C8" s="67">
        <v>1</v>
      </c>
      <c r="D8" s="67">
        <v>4</v>
      </c>
      <c r="E8" s="72">
        <v>365</v>
      </c>
      <c r="F8" s="73">
        <v>379.6</v>
      </c>
      <c r="G8" s="67">
        <v>5</v>
      </c>
      <c r="H8" s="72">
        <v>379</v>
      </c>
      <c r="I8" s="74">
        <f t="shared" si="0"/>
        <v>472.99200000000002</v>
      </c>
    </row>
    <row r="9" spans="1:9" x14ac:dyDescent="0.25">
      <c r="A9" s="352"/>
      <c r="B9" s="2" t="s">
        <v>6</v>
      </c>
      <c r="C9" s="67">
        <v>1</v>
      </c>
      <c r="D9" s="67">
        <v>7</v>
      </c>
      <c r="E9" s="72">
        <v>410</v>
      </c>
      <c r="F9" s="73">
        <v>426.4</v>
      </c>
      <c r="G9" s="67">
        <v>8</v>
      </c>
      <c r="H9" s="72">
        <v>426</v>
      </c>
      <c r="I9" s="74">
        <f t="shared" si="0"/>
        <v>531.64800000000002</v>
      </c>
    </row>
    <row r="10" spans="1:9" x14ac:dyDescent="0.25">
      <c r="A10" s="352"/>
      <c r="B10" s="2" t="s">
        <v>7</v>
      </c>
      <c r="C10" s="67">
        <v>1</v>
      </c>
      <c r="D10" s="67">
        <v>10</v>
      </c>
      <c r="E10" s="72">
        <v>461</v>
      </c>
      <c r="F10" s="73">
        <v>479.44</v>
      </c>
      <c r="G10" s="67">
        <v>10</v>
      </c>
      <c r="H10" s="72">
        <v>461</v>
      </c>
      <c r="I10" s="74">
        <f t="shared" si="0"/>
        <v>575.32799999999997</v>
      </c>
    </row>
    <row r="11" spans="1:9" x14ac:dyDescent="0.25">
      <c r="A11" s="352"/>
      <c r="B11" s="2" t="s">
        <v>8</v>
      </c>
      <c r="C11" s="67">
        <v>1</v>
      </c>
      <c r="D11" s="67">
        <v>7</v>
      </c>
      <c r="E11" s="72">
        <v>410</v>
      </c>
      <c r="F11" s="73">
        <v>426.4</v>
      </c>
      <c r="G11" s="67">
        <v>8</v>
      </c>
      <c r="H11" s="72">
        <v>426</v>
      </c>
      <c r="I11" s="74">
        <f t="shared" si="0"/>
        <v>531.64800000000002</v>
      </c>
    </row>
    <row r="12" spans="1:9" x14ac:dyDescent="0.25">
      <c r="A12" s="352"/>
      <c r="B12" s="2" t="s">
        <v>85</v>
      </c>
      <c r="C12" s="67">
        <v>1</v>
      </c>
      <c r="D12" s="67">
        <v>1</v>
      </c>
      <c r="E12" s="72">
        <v>337</v>
      </c>
      <c r="F12" s="73">
        <v>350.48</v>
      </c>
      <c r="G12" s="67">
        <v>2</v>
      </c>
      <c r="H12" s="78">
        <v>337</v>
      </c>
      <c r="I12" s="74">
        <f t="shared" si="0"/>
        <v>420.57599999999996</v>
      </c>
    </row>
    <row r="13" spans="1:9" x14ac:dyDescent="0.25">
      <c r="A13" s="352"/>
      <c r="B13" s="2" t="s">
        <v>9</v>
      </c>
      <c r="C13" s="67">
        <v>1</v>
      </c>
      <c r="D13" s="67">
        <v>3</v>
      </c>
      <c r="E13" s="72">
        <v>350</v>
      </c>
      <c r="F13" s="75">
        <v>364</v>
      </c>
      <c r="G13" s="67">
        <v>4</v>
      </c>
      <c r="H13" s="78">
        <v>365</v>
      </c>
      <c r="I13" s="74">
        <f t="shared" si="0"/>
        <v>455.52000000000004</v>
      </c>
    </row>
    <row r="14" spans="1:9" x14ac:dyDescent="0.25">
      <c r="A14" s="352"/>
      <c r="B14" s="2" t="s">
        <v>10</v>
      </c>
      <c r="C14" s="67">
        <v>1</v>
      </c>
      <c r="D14" s="67">
        <v>4</v>
      </c>
      <c r="E14" s="72">
        <v>365</v>
      </c>
      <c r="F14" s="73">
        <v>379.6</v>
      </c>
      <c r="G14" s="67">
        <v>5</v>
      </c>
      <c r="H14" s="78">
        <v>379</v>
      </c>
      <c r="I14" s="74">
        <f t="shared" si="0"/>
        <v>472.99200000000002</v>
      </c>
    </row>
    <row r="15" spans="1:9" x14ac:dyDescent="0.25">
      <c r="A15" s="352"/>
      <c r="B15" s="2" t="s">
        <v>11</v>
      </c>
      <c r="C15" s="67">
        <v>1</v>
      </c>
      <c r="D15" s="67">
        <v>2</v>
      </c>
      <c r="E15" s="72">
        <v>337</v>
      </c>
      <c r="F15" s="73">
        <v>350.48</v>
      </c>
      <c r="G15" s="67">
        <v>2</v>
      </c>
      <c r="H15" s="78">
        <v>337</v>
      </c>
      <c r="I15" s="74">
        <f t="shared" si="0"/>
        <v>420.57599999999996</v>
      </c>
    </row>
    <row r="16" spans="1:9" x14ac:dyDescent="0.25">
      <c r="A16" s="4" t="s">
        <v>12</v>
      </c>
      <c r="B16" s="4"/>
      <c r="C16" s="67"/>
      <c r="D16" s="67"/>
      <c r="E16" s="67"/>
      <c r="F16" s="67">
        <f>SUM(F6:F15)</f>
        <v>4025.84</v>
      </c>
      <c r="G16" s="67"/>
      <c r="H16" s="67"/>
      <c r="I16" s="76">
        <f>SUM(I6:I15)</f>
        <v>4967.04</v>
      </c>
    </row>
    <row r="17" spans="1:9" x14ac:dyDescent="0.25">
      <c r="A17" s="3" t="s">
        <v>13</v>
      </c>
      <c r="B17" s="3"/>
      <c r="C17" s="67"/>
      <c r="D17" s="67"/>
      <c r="E17" s="67"/>
      <c r="F17" s="67"/>
      <c r="G17" s="67"/>
      <c r="H17" s="67"/>
      <c r="I17" s="67"/>
    </row>
    <row r="18" spans="1:9" x14ac:dyDescent="0.25">
      <c r="A18" s="5" t="s">
        <v>14</v>
      </c>
      <c r="B18" s="1" t="s">
        <v>14</v>
      </c>
      <c r="C18" s="67">
        <v>5</v>
      </c>
      <c r="D18" s="67">
        <v>9</v>
      </c>
      <c r="E18" s="72">
        <v>524</v>
      </c>
      <c r="F18" s="73">
        <v>544.96</v>
      </c>
      <c r="G18" s="67">
        <v>10</v>
      </c>
      <c r="H18" s="72">
        <v>535</v>
      </c>
      <c r="I18" s="74">
        <f t="shared" si="0"/>
        <v>667.68000000000006</v>
      </c>
    </row>
    <row r="19" spans="1:9" x14ac:dyDescent="0.25">
      <c r="A19" s="5" t="s">
        <v>96</v>
      </c>
      <c r="B19" s="1" t="s">
        <v>15</v>
      </c>
      <c r="C19" s="67">
        <v>1</v>
      </c>
      <c r="D19" s="67">
        <v>9</v>
      </c>
      <c r="E19" s="72">
        <v>306</v>
      </c>
      <c r="F19" s="73">
        <v>318.24</v>
      </c>
      <c r="G19" s="67">
        <v>10</v>
      </c>
      <c r="H19" s="72">
        <v>318</v>
      </c>
      <c r="I19" s="74">
        <f t="shared" si="0"/>
        <v>396.86399999999998</v>
      </c>
    </row>
    <row r="20" spans="1:9" x14ac:dyDescent="0.25">
      <c r="A20" s="352" t="s">
        <v>97</v>
      </c>
      <c r="B20" s="1" t="s">
        <v>98</v>
      </c>
      <c r="C20" s="67">
        <v>1</v>
      </c>
      <c r="D20" s="67">
        <v>8</v>
      </c>
      <c r="E20" s="72">
        <v>268</v>
      </c>
      <c r="F20" s="73">
        <v>278.72000000000003</v>
      </c>
      <c r="G20" s="67">
        <v>9</v>
      </c>
      <c r="H20" s="72">
        <v>278</v>
      </c>
      <c r="I20" s="74">
        <f t="shared" si="0"/>
        <v>346.94399999999996</v>
      </c>
    </row>
    <row r="21" spans="1:9" x14ac:dyDescent="0.25">
      <c r="A21" s="352"/>
      <c r="B21" s="1" t="s">
        <v>16</v>
      </c>
      <c r="C21" s="67">
        <v>1</v>
      </c>
      <c r="D21" s="67">
        <v>9</v>
      </c>
      <c r="E21" s="72">
        <v>278</v>
      </c>
      <c r="F21" s="73">
        <v>289.12</v>
      </c>
      <c r="G21" s="67">
        <v>10</v>
      </c>
      <c r="H21" s="72">
        <v>289</v>
      </c>
      <c r="I21" s="74">
        <f t="shared" si="0"/>
        <v>360.67200000000003</v>
      </c>
    </row>
    <row r="22" spans="1:9" x14ac:dyDescent="0.25">
      <c r="A22" s="352"/>
      <c r="B22" s="1" t="s">
        <v>17</v>
      </c>
      <c r="C22" s="67">
        <v>1</v>
      </c>
      <c r="D22" s="67">
        <v>7</v>
      </c>
      <c r="E22" s="72">
        <v>257</v>
      </c>
      <c r="F22" s="73">
        <v>267.27999999999997</v>
      </c>
      <c r="G22" s="67">
        <v>8</v>
      </c>
      <c r="H22" s="72">
        <v>268</v>
      </c>
      <c r="I22" s="74">
        <f t="shared" si="0"/>
        <v>334.464</v>
      </c>
    </row>
    <row r="23" spans="1:9" x14ac:dyDescent="0.25">
      <c r="A23" s="352"/>
      <c r="B23" s="1" t="s">
        <v>18</v>
      </c>
      <c r="C23" s="67">
        <v>1</v>
      </c>
      <c r="D23" s="67">
        <v>9</v>
      </c>
      <c r="E23" s="72">
        <v>278</v>
      </c>
      <c r="F23" s="73">
        <v>289.12</v>
      </c>
      <c r="G23" s="67">
        <v>10</v>
      </c>
      <c r="H23" s="72">
        <v>289</v>
      </c>
      <c r="I23" s="74">
        <f t="shared" si="0"/>
        <v>360.67200000000003</v>
      </c>
    </row>
    <row r="24" spans="1:9" x14ac:dyDescent="0.25">
      <c r="A24" s="352"/>
      <c r="B24" s="1" t="s">
        <v>19</v>
      </c>
      <c r="C24" s="67">
        <v>1</v>
      </c>
      <c r="D24" s="67">
        <v>9</v>
      </c>
      <c r="E24" s="72">
        <v>278</v>
      </c>
      <c r="F24" s="73">
        <v>289.12</v>
      </c>
      <c r="G24" s="67">
        <v>10</v>
      </c>
      <c r="H24" s="72">
        <v>289</v>
      </c>
      <c r="I24" s="74">
        <f t="shared" si="0"/>
        <v>360.67200000000003</v>
      </c>
    </row>
    <row r="25" spans="1:9" x14ac:dyDescent="0.25">
      <c r="A25" s="352"/>
      <c r="B25" s="1" t="s">
        <v>99</v>
      </c>
      <c r="C25" s="67">
        <v>1</v>
      </c>
      <c r="D25" s="67">
        <v>2</v>
      </c>
      <c r="E25" s="72">
        <v>211</v>
      </c>
      <c r="F25" s="73">
        <v>219.44</v>
      </c>
      <c r="G25" s="67">
        <v>3</v>
      </c>
      <c r="H25" s="72">
        <v>220</v>
      </c>
      <c r="I25" s="74">
        <f t="shared" si="0"/>
        <v>274.56</v>
      </c>
    </row>
    <row r="26" spans="1:9" x14ac:dyDescent="0.25">
      <c r="C26" s="57"/>
      <c r="F26" s="57">
        <f>SUM(F18:F25)</f>
        <v>2496</v>
      </c>
      <c r="I26" s="77">
        <f>SUM(I18:I25)</f>
        <v>3102.5280000000002</v>
      </c>
    </row>
  </sheetData>
  <mergeCells count="4">
    <mergeCell ref="A6:A15"/>
    <mergeCell ref="A20:A25"/>
    <mergeCell ref="D4:F4"/>
    <mergeCell ref="G4:I4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K36" sqref="K36"/>
    </sheetView>
  </sheetViews>
  <sheetFormatPr defaultRowHeight="13.2" x14ac:dyDescent="0.25"/>
  <cols>
    <col min="1" max="1" width="29.33203125" customWidth="1"/>
    <col min="2" max="2" width="15.5546875" customWidth="1"/>
    <col min="3" max="3" width="12.33203125" customWidth="1"/>
    <col min="4" max="4" width="4.109375" customWidth="1"/>
  </cols>
  <sheetData>
    <row r="2" spans="1:3" ht="14.4" x14ac:dyDescent="0.3">
      <c r="A2" s="354" t="s">
        <v>155</v>
      </c>
      <c r="B2" s="355"/>
      <c r="C2" s="355"/>
    </row>
    <row r="3" spans="1:3" ht="29.25" customHeight="1" x14ac:dyDescent="0.3">
      <c r="A3" s="93"/>
      <c r="B3" s="202" t="s">
        <v>129</v>
      </c>
      <c r="C3" s="201" t="s">
        <v>130</v>
      </c>
    </row>
    <row r="4" spans="1:3" x14ac:dyDescent="0.25">
      <c r="A4" s="5" t="s">
        <v>131</v>
      </c>
      <c r="B4" s="92">
        <v>710</v>
      </c>
      <c r="C4" s="94" t="s">
        <v>132</v>
      </c>
    </row>
    <row r="5" spans="1:3" x14ac:dyDescent="0.25">
      <c r="A5" s="2" t="s">
        <v>146</v>
      </c>
      <c r="B5" s="92">
        <v>432.75</v>
      </c>
      <c r="C5" s="94" t="s">
        <v>132</v>
      </c>
    </row>
    <row r="6" spans="1:3" x14ac:dyDescent="0.25">
      <c r="A6" s="2" t="s">
        <v>147</v>
      </c>
      <c r="B6" s="92">
        <v>432.75</v>
      </c>
      <c r="C6" s="94" t="s">
        <v>132</v>
      </c>
    </row>
    <row r="7" spans="1:3" x14ac:dyDescent="0.25">
      <c r="A7" s="5" t="s">
        <v>7</v>
      </c>
      <c r="B7" s="92">
        <v>574</v>
      </c>
      <c r="C7" s="94" t="s">
        <v>132</v>
      </c>
    </row>
    <row r="8" spans="1:3" x14ac:dyDescent="0.25">
      <c r="A8" s="5" t="s">
        <v>8</v>
      </c>
      <c r="B8" s="92">
        <v>484</v>
      </c>
      <c r="C8" s="94" t="s">
        <v>132</v>
      </c>
    </row>
    <row r="9" spans="1:3" x14ac:dyDescent="0.25">
      <c r="A9" s="5" t="s">
        <v>133</v>
      </c>
      <c r="B9" s="92">
        <v>484</v>
      </c>
      <c r="C9" s="94" t="s">
        <v>132</v>
      </c>
    </row>
    <row r="10" spans="1:3" x14ac:dyDescent="0.25">
      <c r="A10" s="5" t="s">
        <v>95</v>
      </c>
      <c r="B10" s="92">
        <v>484</v>
      </c>
      <c r="C10" s="94" t="s">
        <v>132</v>
      </c>
    </row>
    <row r="11" spans="1:3" x14ac:dyDescent="0.25">
      <c r="A11" s="5" t="s">
        <v>6</v>
      </c>
      <c r="B11" s="92">
        <v>484</v>
      </c>
      <c r="C11" s="94" t="s">
        <v>132</v>
      </c>
    </row>
    <row r="12" spans="1:3" x14ac:dyDescent="0.25">
      <c r="A12" s="5" t="s">
        <v>10</v>
      </c>
      <c r="B12" s="92">
        <v>484</v>
      </c>
      <c r="C12" s="94" t="s">
        <v>132</v>
      </c>
    </row>
    <row r="13" spans="1:3" x14ac:dyDescent="0.25">
      <c r="A13" s="5" t="s">
        <v>5</v>
      </c>
      <c r="B13" s="92">
        <v>484</v>
      </c>
      <c r="C13" s="94" t="s">
        <v>132</v>
      </c>
    </row>
    <row r="14" spans="1:3" x14ac:dyDescent="0.25">
      <c r="A14" s="5" t="s">
        <v>9</v>
      </c>
      <c r="B14" s="92">
        <v>484</v>
      </c>
      <c r="C14" s="94" t="s">
        <v>132</v>
      </c>
    </row>
    <row r="15" spans="1:3" x14ac:dyDescent="0.25">
      <c r="A15" s="5" t="s">
        <v>136</v>
      </c>
      <c r="B15" s="92">
        <v>484</v>
      </c>
      <c r="C15" s="94" t="s">
        <v>132</v>
      </c>
    </row>
    <row r="16" spans="1:3" x14ac:dyDescent="0.25">
      <c r="A16" s="5" t="s">
        <v>149</v>
      </c>
      <c r="B16" s="92">
        <v>484</v>
      </c>
      <c r="C16" s="94" t="s">
        <v>132</v>
      </c>
    </row>
    <row r="17" spans="1:3" x14ac:dyDescent="0.25">
      <c r="A17" s="5" t="s">
        <v>154</v>
      </c>
      <c r="B17" s="92">
        <v>391</v>
      </c>
      <c r="C17" s="94" t="s">
        <v>132</v>
      </c>
    </row>
    <row r="18" spans="1:3" x14ac:dyDescent="0.25">
      <c r="A18" s="5" t="s">
        <v>137</v>
      </c>
      <c r="B18" s="92">
        <v>391</v>
      </c>
      <c r="C18" s="94" t="s">
        <v>132</v>
      </c>
    </row>
    <row r="19" spans="1:3" x14ac:dyDescent="0.25">
      <c r="A19" s="5" t="s">
        <v>127</v>
      </c>
      <c r="B19" s="92">
        <v>391</v>
      </c>
      <c r="C19" s="94" t="s">
        <v>132</v>
      </c>
    </row>
    <row r="20" spans="1:3" x14ac:dyDescent="0.25">
      <c r="A20" s="5" t="s">
        <v>134</v>
      </c>
      <c r="B20" s="92">
        <v>391</v>
      </c>
      <c r="C20" s="94" t="s">
        <v>132</v>
      </c>
    </row>
    <row r="21" spans="1:3" x14ac:dyDescent="0.25">
      <c r="A21" s="5" t="s">
        <v>135</v>
      </c>
      <c r="B21" s="92">
        <v>391</v>
      </c>
      <c r="C21" s="94" t="s">
        <v>132</v>
      </c>
    </row>
    <row r="22" spans="1:3" x14ac:dyDescent="0.25">
      <c r="B22" s="58">
        <f>SUM(B4:B21)</f>
        <v>8460.5</v>
      </c>
    </row>
  </sheetData>
  <mergeCells count="1">
    <mergeCell ref="A2:C2"/>
  </mergeCells>
  <pageMargins left="0.25" right="0.25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2015-12-21T06:00:00+00:00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Countries</TermName>
          <TermId xmlns="http://schemas.microsoft.com/office/infopath/2007/PartnerControls">2f9ec5a1-3eec-45d6-8645-ed5d87180aba</TermId>
        </TermInfo>
      </Terms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Programmes ＆ Funds</TermName>
          <TermId xmlns="http://schemas.microsoft.com/office/infopath/2007/PartnerControls">3f053eee-e7b3-4f8d-ad06-eac3385eb6b6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437</Value>
      <Value>1114</Value>
      <Value>1110</Value>
      <Value>1670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00034431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TKM</TermName>
          <TermId xmlns="http://schemas.microsoft.com/office/infopath/2007/PartnerControls">8a730513-0bff-4437-96ef-14bf81511455</TermId>
        </TermInfo>
      </Terms>
    </gc6531b704974d528487414686b72f6f>
    <_dlc_DocId xmlns="f1161f5b-24a3-4c2d-bc81-44cb9325e8ee">ATLASPDC-4-43461</_dlc_DocId>
    <_dlc_DocIdUrl xmlns="f1161f5b-24a3-4c2d-bc81-44cb9325e8ee">
      <Url>https://info.undp.org/docs/pdc/_layouts/DocIdRedir.aspx?ID=ATLASPDC-4-43461</Url>
      <Description>ATLASPDC-4-43461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566F475B-4681-4A83-B26F-21375D960441}"/>
</file>

<file path=customXml/itemProps2.xml><?xml version="1.0" encoding="utf-8"?>
<ds:datastoreItem xmlns:ds="http://schemas.openxmlformats.org/officeDocument/2006/customXml" ds:itemID="{961947C4-87E8-4FF3-93B5-6164B26D8893}"/>
</file>

<file path=customXml/itemProps3.xml><?xml version="1.0" encoding="utf-8"?>
<ds:datastoreItem xmlns:ds="http://schemas.openxmlformats.org/officeDocument/2006/customXml" ds:itemID="{485DAA87-FF9D-4BEC-9A3F-A62BDE0991CC}"/>
</file>

<file path=customXml/itemProps4.xml><?xml version="1.0" encoding="utf-8"?>
<ds:datastoreItem xmlns:ds="http://schemas.openxmlformats.org/officeDocument/2006/customXml" ds:itemID="{E00A8DBF-84A2-4FC0-BADD-1C803D10BD79}"/>
</file>

<file path=customXml/itemProps5.xml><?xml version="1.0" encoding="utf-8"?>
<ds:datastoreItem xmlns:ds="http://schemas.openxmlformats.org/officeDocument/2006/customXml" ds:itemID="{CC3DAB81-72E9-4CA2-B8E3-988BEEBD5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Budget</vt:lpstr>
      <vt:lpstr>Costs for 2015</vt:lpstr>
      <vt:lpstr>security-related</vt:lpstr>
      <vt:lpstr>Distribution of costs for 2015</vt:lpstr>
      <vt:lpstr>Cost_sharing_formula Act1&amp;3</vt:lpstr>
      <vt:lpstr>cost-sharing formula Act4</vt:lpstr>
      <vt:lpstr>saslary information</vt:lpstr>
      <vt:lpstr>CS staff </vt:lpstr>
      <vt:lpstr>'Costs for 2015'!Print_Area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WITH BUDGET</dc:title>
  <dc:subject/>
  <dc:creator>aman.allanurov</dc:creator>
  <cp:lastModifiedBy>Ogulshirin Yazlyyeva</cp:lastModifiedBy>
  <cp:lastPrinted>2015-01-26T05:47:44Z</cp:lastPrinted>
  <dcterms:created xsi:type="dcterms:W3CDTF">2007-10-08T08:57:52Z</dcterms:created>
  <dcterms:modified xsi:type="dcterms:W3CDTF">2015-12-21T04:55:59Z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1114;#Countries|2f9ec5a1-3eec-45d6-8645-ed5d87180aba</vt:lpwstr>
  </property>
  <property fmtid="{D5CDD505-2E9C-101B-9397-08002B2CF9AE}" pid="4" name="Atlas_x0020_Document_x0020_Type">
    <vt:lpwstr>228;#Prodoc|5f41516e-5ee3-43b6-82ea-9b89532838d0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1670;#TKM|8a730513-0bff-4437-96ef-14bf81511455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>437;#Programmes ＆ Funds|3f053eee-e7b3-4f8d-ad06-eac3385eb6b6</vt:lpwstr>
  </property>
  <property fmtid="{D5CDD505-2E9C-101B-9397-08002B2CF9AE}" pid="16" name="Atlas Document Type">
    <vt:lpwstr>1110;#Prodoc|099f975e-b4d9-4bba-a499-dbcc387c61ad</vt:lpwstr>
  </property>
  <property fmtid="{D5CDD505-2E9C-101B-9397-08002B2CF9AE}" pid="17" name="_dlc_DocIdItemGuid">
    <vt:lpwstr>73dba09c-58bb-4c70-9756-09bbefc0f8a3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